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00" activeTab="0"/>
  </bookViews>
  <sheets>
    <sheet name="лагерь&quot;лето&quot;2017 (18 дней)" sheetId="1" r:id="rId1"/>
    <sheet name="ассортиментный2017" sheetId="2" r:id="rId2"/>
  </sheets>
  <definedNames/>
  <calcPr fullCalcOnLoad="1" refMode="R1C1"/>
</workbook>
</file>

<file path=xl/sharedStrings.xml><?xml version="1.0" encoding="utf-8"?>
<sst xmlns="http://schemas.openxmlformats.org/spreadsheetml/2006/main" count="816" uniqueCount="211">
  <si>
    <t>1 ДЕНЬ</t>
  </si>
  <si>
    <t>ОБЕД</t>
  </si>
  <si>
    <t>82/2005</t>
  </si>
  <si>
    <t>2 ДЕНЬ</t>
  </si>
  <si>
    <t>102/2005</t>
  </si>
  <si>
    <t>Суп картофельный с бобовыми</t>
  </si>
  <si>
    <t>№рецепт.</t>
  </si>
  <si>
    <t>Наименование блюд</t>
  </si>
  <si>
    <t>брутто</t>
  </si>
  <si>
    <t>нетто</t>
  </si>
  <si>
    <t>белки</t>
  </si>
  <si>
    <t>жиры</t>
  </si>
  <si>
    <t>углеводы</t>
  </si>
  <si>
    <t>эн.ценность</t>
  </si>
  <si>
    <t>Ca</t>
  </si>
  <si>
    <t>Mg</t>
  </si>
  <si>
    <t>P</t>
  </si>
  <si>
    <t>Fe</t>
  </si>
  <si>
    <t>А</t>
  </si>
  <si>
    <t>В1</t>
  </si>
  <si>
    <t>В2</t>
  </si>
  <si>
    <t>РР</t>
  </si>
  <si>
    <t>С</t>
  </si>
  <si>
    <t>г/п</t>
  </si>
  <si>
    <t>минеральные вещества(мг)</t>
  </si>
  <si>
    <t>витамины(мг)</t>
  </si>
  <si>
    <t>К</t>
  </si>
  <si>
    <t>молоко</t>
  </si>
  <si>
    <t>сахар-песок</t>
  </si>
  <si>
    <t>картофель</t>
  </si>
  <si>
    <t>морковь</t>
  </si>
  <si>
    <t>лук репчатый</t>
  </si>
  <si>
    <t>масло растительное подсолнечное</t>
  </si>
  <si>
    <t>вода</t>
  </si>
  <si>
    <t>томатная паста</t>
  </si>
  <si>
    <t>масло сливочное"Крестьянское"</t>
  </si>
  <si>
    <t>мука пшеничная в/с</t>
  </si>
  <si>
    <t>лавровый лист</t>
  </si>
  <si>
    <t>чай-заварка</t>
  </si>
  <si>
    <t>свекла</t>
  </si>
  <si>
    <t>капуста белокачанная свежая</t>
  </si>
  <si>
    <t>вода или бульон</t>
  </si>
  <si>
    <t>цыпленок-бройлер</t>
  </si>
  <si>
    <t xml:space="preserve">вода </t>
  </si>
  <si>
    <t>крупа пшеничная</t>
  </si>
  <si>
    <t>горох лущеный</t>
  </si>
  <si>
    <t>соль йодированная</t>
  </si>
  <si>
    <t>цена</t>
  </si>
  <si>
    <t xml:space="preserve">итого </t>
  </si>
  <si>
    <t>крупа рисовая</t>
  </si>
  <si>
    <t>сметана</t>
  </si>
  <si>
    <t>3 ДЕНЬ</t>
  </si>
  <si>
    <t>291/2005</t>
  </si>
  <si>
    <t>Плов из птицы</t>
  </si>
  <si>
    <t>4 ДЕНЬ</t>
  </si>
  <si>
    <t>96/2005</t>
  </si>
  <si>
    <t>крупа(перловая или пшеничная)</t>
  </si>
  <si>
    <t>огурцы соленые</t>
  </si>
  <si>
    <t>5 ДЕНЬ</t>
  </si>
  <si>
    <t>108/2005</t>
  </si>
  <si>
    <t>312/2005</t>
  </si>
  <si>
    <t>Пюре картофельное</t>
  </si>
  <si>
    <t>6 ДЕНЬ</t>
  </si>
  <si>
    <t>7 ДЕНЬ</t>
  </si>
  <si>
    <t>8 ДЕНЬ</t>
  </si>
  <si>
    <t>9 ДЕНЬ</t>
  </si>
  <si>
    <t>10 ДЕНЬ</t>
  </si>
  <si>
    <t>говядина(котлетное мясо)</t>
  </si>
  <si>
    <t>хлеб пшеничный</t>
  </si>
  <si>
    <t>мука пшеничная</t>
  </si>
  <si>
    <t>618/2009</t>
  </si>
  <si>
    <t>309/2005</t>
  </si>
  <si>
    <t>Макаронные изделия отварные</t>
  </si>
  <si>
    <t>макаронные изделия в/с</t>
  </si>
  <si>
    <t>376/2005</t>
  </si>
  <si>
    <t xml:space="preserve">Чай с сахаром </t>
  </si>
  <si>
    <t>масло растительное</t>
  </si>
  <si>
    <t>кислота лимонная</t>
  </si>
  <si>
    <t>536/2009</t>
  </si>
  <si>
    <t>Сосиска отварная</t>
  </si>
  <si>
    <t>сосиска"Молочная"</t>
  </si>
  <si>
    <t>сухари панировочные</t>
  </si>
  <si>
    <t>горошек зеленый консервированный</t>
  </si>
  <si>
    <t>минтай или хек с/м</t>
  </si>
  <si>
    <t>какао-порошок</t>
  </si>
  <si>
    <t>крупа манная</t>
  </si>
  <si>
    <t>молоко сгущенное с сахаром</t>
  </si>
  <si>
    <t>сыр"Российский"</t>
  </si>
  <si>
    <t>хлеб пшеничный йодированный</t>
  </si>
  <si>
    <t xml:space="preserve">Хлеб пшеничный </t>
  </si>
  <si>
    <t>дрожжи пекарские сухие</t>
  </si>
  <si>
    <t>крупа гречневая</t>
  </si>
  <si>
    <t>повидло</t>
  </si>
  <si>
    <t>наименование продуктов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</si>
  <si>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</si>
  <si>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</si>
  <si>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</si>
  <si>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</si>
  <si>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</si>
  <si>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</si>
  <si>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</si>
  <si>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</si>
  <si>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</si>
  <si>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</si>
  <si>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СОГЛАСОВАНО:</t>
  </si>
  <si>
    <t>УТВЕРЖДАЮ:</t>
  </si>
  <si>
    <t>крупа "Геркулес"</t>
  </si>
  <si>
    <t>рис шлифованный</t>
  </si>
  <si>
    <t>творог нежирный</t>
  </si>
  <si>
    <t>мороженое"Пломбир"</t>
  </si>
  <si>
    <t>чай черный байховый в/с</t>
  </si>
  <si>
    <t xml:space="preserve">колбаса варено-копченая </t>
  </si>
  <si>
    <t xml:space="preserve">говядина </t>
  </si>
  <si>
    <t>мясо птицы(цыплята-бройлеры)</t>
  </si>
  <si>
    <t>пельмени полуфабрикат промышленного производства</t>
  </si>
  <si>
    <t>сосиски "Молочные" или "Говяжьи" в/с или 1 сорта</t>
  </si>
  <si>
    <t>минтай с/м или хек с/м</t>
  </si>
  <si>
    <t>консерва рыбная (лосось, сайра, горбуша)</t>
  </si>
  <si>
    <t>капуста белокачанная</t>
  </si>
  <si>
    <t>огурец соленый</t>
  </si>
  <si>
    <t>икра кабачковая</t>
  </si>
  <si>
    <t>макаронные изделия</t>
  </si>
  <si>
    <t xml:space="preserve">шоколад </t>
  </si>
  <si>
    <t>яйцо куриное столовое, гр.</t>
  </si>
  <si>
    <t xml:space="preserve">кислота лимонная </t>
  </si>
  <si>
    <t>бананы</t>
  </si>
  <si>
    <t>сухофрукты смесь</t>
  </si>
  <si>
    <t>яблоки</t>
  </si>
  <si>
    <t>апельсины</t>
  </si>
  <si>
    <t>зефир</t>
  </si>
  <si>
    <t>мармелад</t>
  </si>
  <si>
    <t>ИТОГО</t>
  </si>
  <si>
    <t>103/2005</t>
  </si>
  <si>
    <t>макароны или лапша или вермишель</t>
  </si>
  <si>
    <t>варенники полуфабрикат промышленного производства с фаршем картофельным</t>
  </si>
  <si>
    <t>итого(гр)</t>
  </si>
  <si>
    <t>305/2014</t>
  </si>
  <si>
    <t>филе птицы(полуфабрикат)</t>
  </si>
  <si>
    <t xml:space="preserve">г/п </t>
  </si>
  <si>
    <t>Хлеб ржаной</t>
  </si>
  <si>
    <t>масса порции</t>
  </si>
  <si>
    <t>302/2005</t>
  </si>
  <si>
    <t>каша пшеничная рассыпчатая</t>
  </si>
  <si>
    <t>филе птицы</t>
  </si>
  <si>
    <t>хлеб ржаной</t>
  </si>
  <si>
    <t>лимон</t>
  </si>
  <si>
    <t>помидор</t>
  </si>
  <si>
    <t xml:space="preserve">огурец  </t>
  </si>
  <si>
    <t>крупа перловая</t>
  </si>
  <si>
    <t>стоим.</t>
  </si>
  <si>
    <t>Ассортиментный перечень продуктов питания необходимый для выполнения примерного 18-дневного меню для пришкольных лагерей в 2017 году</t>
  </si>
  <si>
    <t xml:space="preserve">крупа гречневая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</si>
  <si>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</si>
  <si>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Заместитель начальника ТО Управления  Роспотребнадзора по СК в Шпаковском районе </t>
  </si>
  <si>
    <t>__________________В.В.Евтеева</t>
  </si>
  <si>
    <t>ИП Звягина Н.И.</t>
  </si>
  <si>
    <t>______________Звягина Н.И.</t>
  </si>
  <si>
    <t>Щи из свежей капусты с картофелем и сметаной</t>
  </si>
  <si>
    <t xml:space="preserve">Котлета  из филе птицы </t>
  </si>
  <si>
    <t>5/250</t>
  </si>
  <si>
    <t>200/15</t>
  </si>
  <si>
    <t>Каша  гречневая рассыпчатая</t>
  </si>
  <si>
    <t>НЕ ПОЛНЫЙ ОБЕД</t>
  </si>
  <si>
    <t>Хлеб пшеничный</t>
  </si>
  <si>
    <t>томат-паста</t>
  </si>
  <si>
    <t>Рис припущеный</t>
  </si>
  <si>
    <t>60/50</t>
  </si>
  <si>
    <t xml:space="preserve">Тефтели  в томатно-сметанном  соусе </t>
  </si>
  <si>
    <t>Суп картофельный с макаронными изделиями  со сметаной</t>
  </si>
  <si>
    <t>Суп из овощей</t>
  </si>
  <si>
    <t>горошек зеленый консер.</t>
  </si>
  <si>
    <t>Биточки из мяса говядины</t>
  </si>
  <si>
    <t>мясо говядины</t>
  </si>
  <si>
    <t xml:space="preserve">Рассольник ленинградский </t>
  </si>
  <si>
    <t>Борщ со свежей капустой и картофелем со сметаной</t>
  </si>
  <si>
    <t>80/230</t>
  </si>
  <si>
    <t>285/2005</t>
  </si>
  <si>
    <t>Макароны с мясом</t>
  </si>
  <si>
    <t>яйцо куриное, гр.</t>
  </si>
  <si>
    <t>173/2005</t>
  </si>
  <si>
    <t>Каша вязкая молочная из  хлопьев овсяных с маслом и сахаром</t>
  </si>
  <si>
    <t>хлопья "Геркулес"</t>
  </si>
  <si>
    <t>1/2005</t>
  </si>
  <si>
    <t>Бутерброд с маслом сливочным</t>
  </si>
  <si>
    <t xml:space="preserve">хлеб пшеничный </t>
  </si>
  <si>
    <t>944/ 2009</t>
  </si>
  <si>
    <t xml:space="preserve">чай с сахаром </t>
  </si>
  <si>
    <t>200/15/7</t>
  </si>
  <si>
    <t>942/209</t>
  </si>
  <si>
    <t>чай - заварка</t>
  </si>
  <si>
    <t>Каша молочная из крупы манной</t>
  </si>
  <si>
    <t>сахар песок</t>
  </si>
  <si>
    <t>вода питьевая</t>
  </si>
  <si>
    <t>молоко пастеризованное</t>
  </si>
  <si>
    <t>182/2005</t>
  </si>
  <si>
    <t>Каша вязкая молочная из крупы рисовой с маслом и сахаром</t>
  </si>
  <si>
    <t>Печенье</t>
  </si>
  <si>
    <t xml:space="preserve">Каша молочная из гречневой крупы </t>
  </si>
  <si>
    <t>Пряник</t>
  </si>
  <si>
    <t>417/2009</t>
  </si>
  <si>
    <t>Макароны отварные с овощами</t>
  </si>
  <si>
    <t>438/2009</t>
  </si>
  <si>
    <t>Омлет натуральный</t>
  </si>
  <si>
    <t>яйцо куриное ,гр</t>
  </si>
  <si>
    <t>масло сливочное "Крестьянское"</t>
  </si>
  <si>
    <t>ЗАВТРАК (бюджет)</t>
  </si>
  <si>
    <t>Котлеты рыбные</t>
  </si>
  <si>
    <t>Сухари панировочные</t>
  </si>
  <si>
    <t>Птица тушеная в соусе томатно-сметанном</t>
  </si>
  <si>
    <t>60/60</t>
  </si>
  <si>
    <t>цыплята потрашенные 1 кат.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</si>
</sst>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"/>
    <numFmt numFmtId="183" formatCode="0.000000"/>
    <numFmt numFmtId="184" formatCode="0.0;[Red]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174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2" fontId="3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17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173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174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49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vertical="top" wrapText="1"/>
    </xf>
    <xf numFmtId="0" fontId="10" fillId="33" borderId="11" xfId="0" applyFont="1" applyFill="1" applyBorder="1" applyAlignment="1">
      <alignment/>
    </xf>
    <xf numFmtId="174" fontId="10" fillId="33" borderId="1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17" fontId="3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3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8"/>
  <sheetViews>
    <sheetView tabSelected="1" zoomScale="91" zoomScaleNormal="91" zoomScalePageLayoutView="0" workbookViewId="0" topLeftCell="A1">
      <selection activeCell="V244" sqref="V244"/>
    </sheetView>
  </sheetViews>
  <sheetFormatPr defaultColWidth="9.00390625" defaultRowHeight="12.75"/>
  <cols>
    <col min="1" max="1" width="8.375" style="36" customWidth="1"/>
    <col min="2" max="2" width="33.125" style="0" customWidth="1"/>
    <col min="3" max="3" width="6.125" style="0" customWidth="1"/>
    <col min="4" max="4" width="7.25390625" style="0" customWidth="1"/>
    <col min="5" max="5" width="6.875" style="0" customWidth="1"/>
    <col min="6" max="6" width="7.125" style="0" customWidth="1"/>
    <col min="7" max="7" width="6.875" style="0" customWidth="1"/>
    <col min="8" max="8" width="6.375" style="0" customWidth="1"/>
    <col min="9" max="9" width="9.125" style="0" customWidth="1"/>
    <col min="10" max="10" width="8.00390625" style="0" customWidth="1"/>
    <col min="11" max="11" width="8.125" style="0" customWidth="1"/>
    <col min="12" max="12" width="6.75390625" style="0" customWidth="1"/>
    <col min="13" max="13" width="6.875" style="0" customWidth="1"/>
    <col min="14" max="14" width="6.125" style="0" customWidth="1"/>
    <col min="15" max="15" width="5.875" style="0" customWidth="1"/>
    <col min="16" max="16" width="6.25390625" style="0" customWidth="1"/>
    <col min="17" max="17" width="6.125" style="0" customWidth="1"/>
    <col min="18" max="18" width="6.25390625" style="0" customWidth="1"/>
    <col min="19" max="19" width="5.75390625" style="0" customWidth="1"/>
  </cols>
  <sheetData>
    <row r="1" spans="1:19" ht="38.25" customHeight="1">
      <c r="A1" s="105" t="s">
        <v>6</v>
      </c>
      <c r="B1" s="100" t="s">
        <v>7</v>
      </c>
      <c r="C1" s="102" t="s">
        <v>140</v>
      </c>
      <c r="D1" s="100" t="s">
        <v>8</v>
      </c>
      <c r="E1" s="100" t="s">
        <v>9</v>
      </c>
      <c r="F1" s="100" t="s">
        <v>10</v>
      </c>
      <c r="G1" s="100" t="s">
        <v>11</v>
      </c>
      <c r="H1" s="102" t="s">
        <v>12</v>
      </c>
      <c r="I1" s="102" t="s">
        <v>13</v>
      </c>
      <c r="J1" s="104" t="s">
        <v>24</v>
      </c>
      <c r="K1" s="104"/>
      <c r="L1" s="104"/>
      <c r="M1" s="104"/>
      <c r="N1" s="104"/>
      <c r="O1" s="66" t="s">
        <v>25</v>
      </c>
      <c r="P1" s="66"/>
      <c r="Q1" s="66"/>
      <c r="R1" s="66"/>
      <c r="S1" s="67"/>
    </row>
    <row r="2" spans="1:19" ht="13.5" thickBot="1">
      <c r="A2" s="106"/>
      <c r="B2" s="101"/>
      <c r="C2" s="103"/>
      <c r="D2" s="101"/>
      <c r="E2" s="101"/>
      <c r="F2" s="101"/>
      <c r="G2" s="101"/>
      <c r="H2" s="103"/>
      <c r="I2" s="103"/>
      <c r="J2" s="43" t="s">
        <v>26</v>
      </c>
      <c r="K2" s="43" t="s">
        <v>14</v>
      </c>
      <c r="L2" s="43" t="s">
        <v>15</v>
      </c>
      <c r="M2" s="43" t="s">
        <v>16</v>
      </c>
      <c r="N2" s="43" t="s">
        <v>17</v>
      </c>
      <c r="O2" s="43" t="s">
        <v>18</v>
      </c>
      <c r="P2" s="43" t="s">
        <v>19</v>
      </c>
      <c r="Q2" s="43" t="s">
        <v>20</v>
      </c>
      <c r="R2" s="43" t="s">
        <v>21</v>
      </c>
      <c r="S2" s="44" t="s">
        <v>22</v>
      </c>
    </row>
    <row r="3" spans="1:19" ht="12.75" customHeight="1">
      <c r="A3" s="19"/>
      <c r="B3" s="1" t="s">
        <v>0</v>
      </c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 customHeight="1">
      <c r="A4" s="11"/>
      <c r="B4" s="2" t="s">
        <v>205</v>
      </c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 customHeight="1">
      <c r="A5" s="11" t="s">
        <v>179</v>
      </c>
      <c r="B5" s="70" t="s">
        <v>180</v>
      </c>
      <c r="C5" s="70">
        <v>220</v>
      </c>
      <c r="D5" s="71"/>
      <c r="E5" s="71"/>
      <c r="F5" s="3">
        <f>F6+F7+F8+F9+F10+F11</f>
        <v>7.64</v>
      </c>
      <c r="G5" s="3">
        <f aca="true" t="shared" si="0" ref="G5:S5">G6+G7+G8+G9+G10+G11</f>
        <v>13.178</v>
      </c>
      <c r="H5" s="3">
        <f t="shared" si="0"/>
        <v>42.842000000000006</v>
      </c>
      <c r="I5" s="3">
        <f t="shared" si="0"/>
        <v>318.93999999999994</v>
      </c>
      <c r="J5" s="3">
        <f t="shared" si="0"/>
        <v>148.78</v>
      </c>
      <c r="K5" s="3">
        <f t="shared" si="0"/>
        <v>145.39999999999998</v>
      </c>
      <c r="L5" s="3">
        <f t="shared" si="0"/>
        <v>76.77999999999999</v>
      </c>
      <c r="M5" s="3">
        <f t="shared" si="0"/>
        <v>251.62</v>
      </c>
      <c r="N5" s="3">
        <f t="shared" si="0"/>
        <v>3.432</v>
      </c>
      <c r="O5" s="3">
        <f t="shared" si="0"/>
        <v>0</v>
      </c>
      <c r="P5" s="3">
        <f t="shared" si="0"/>
        <v>0.198</v>
      </c>
      <c r="Q5" s="3">
        <f t="shared" si="0"/>
        <v>0</v>
      </c>
      <c r="R5" s="3">
        <f t="shared" si="0"/>
        <v>0</v>
      </c>
      <c r="S5" s="3">
        <f t="shared" si="0"/>
        <v>1.3</v>
      </c>
    </row>
    <row r="6" spans="1:19" ht="12.75" customHeight="1">
      <c r="A6" s="72"/>
      <c r="B6" s="73" t="s">
        <v>181</v>
      </c>
      <c r="C6" s="73"/>
      <c r="D6" s="74">
        <v>44</v>
      </c>
      <c r="E6" s="74">
        <v>44</v>
      </c>
      <c r="F6" s="75">
        <f>11*E6/100</f>
        <v>4.84</v>
      </c>
      <c r="G6" s="75">
        <f>6.2*E6/100</f>
        <v>2.728</v>
      </c>
      <c r="H6" s="75">
        <f>50.1*E6/100</f>
        <v>22.044</v>
      </c>
      <c r="I6" s="75">
        <f>305*E6/100</f>
        <v>134.2</v>
      </c>
      <c r="J6" s="76">
        <v>0</v>
      </c>
      <c r="K6" s="75">
        <f>52*E6/100</f>
        <v>22.88</v>
      </c>
      <c r="L6" s="75">
        <f>142*E6/100</f>
        <v>62.48</v>
      </c>
      <c r="M6" s="75">
        <f>363*E6/100</f>
        <v>159.72</v>
      </c>
      <c r="N6" s="75">
        <f>7.8*E6/100</f>
        <v>3.432</v>
      </c>
      <c r="O6" s="75">
        <v>0</v>
      </c>
      <c r="P6" s="75">
        <f>0.45*E6/100</f>
        <v>0.198</v>
      </c>
      <c r="Q6" s="75">
        <v>0</v>
      </c>
      <c r="R6" s="75">
        <v>0</v>
      </c>
      <c r="S6" s="75">
        <v>0</v>
      </c>
    </row>
    <row r="7" spans="1:19" ht="12.75" customHeight="1">
      <c r="A7" s="72"/>
      <c r="B7" s="73" t="s">
        <v>27</v>
      </c>
      <c r="C7" s="73"/>
      <c r="D7" s="74">
        <v>100</v>
      </c>
      <c r="E7" s="74">
        <v>100</v>
      </c>
      <c r="F7" s="8">
        <f>2.8*E7/100</f>
        <v>2.8</v>
      </c>
      <c r="G7" s="8">
        <f>3.2*E7/100</f>
        <v>3.2</v>
      </c>
      <c r="H7" s="8">
        <f>4.7*E7/100</f>
        <v>4.7</v>
      </c>
      <c r="I7" s="8">
        <f>58*E7/100</f>
        <v>58</v>
      </c>
      <c r="J7" s="8">
        <f>146*E7/100</f>
        <v>146</v>
      </c>
      <c r="K7" s="9">
        <f>120*E7/100</f>
        <v>120</v>
      </c>
      <c r="L7" s="8">
        <f>14*E7/100</f>
        <v>14</v>
      </c>
      <c r="M7" s="9">
        <f>90*E7/100</f>
        <v>90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f>1.3*E7/100</f>
        <v>1.3</v>
      </c>
    </row>
    <row r="8" spans="1:19" ht="12.75" customHeight="1">
      <c r="A8" s="72"/>
      <c r="B8" s="73" t="s">
        <v>33</v>
      </c>
      <c r="C8" s="73"/>
      <c r="D8" s="74">
        <v>60</v>
      </c>
      <c r="E8" s="74">
        <v>60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</row>
    <row r="9" spans="1:19" ht="12.75" customHeight="1">
      <c r="A9" s="72"/>
      <c r="B9" s="73" t="s">
        <v>28</v>
      </c>
      <c r="C9" s="73"/>
      <c r="D9" s="74">
        <v>16</v>
      </c>
      <c r="E9" s="74">
        <v>16</v>
      </c>
      <c r="F9" s="77">
        <v>0</v>
      </c>
      <c r="G9" s="77">
        <v>0</v>
      </c>
      <c r="H9" s="77">
        <f>99.8*E9/100</f>
        <v>15.968</v>
      </c>
      <c r="I9" s="77">
        <f>379*E9/100</f>
        <v>60.64</v>
      </c>
      <c r="J9" s="77">
        <f>3*E9/100</f>
        <v>0.48</v>
      </c>
      <c r="K9" s="77">
        <f>2*E9/100</f>
        <v>0.32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</row>
    <row r="10" spans="1:19" ht="12.75" customHeight="1">
      <c r="A10" s="11"/>
      <c r="B10" s="78" t="s">
        <v>46</v>
      </c>
      <c r="C10" s="78"/>
      <c r="D10" s="79">
        <v>1</v>
      </c>
      <c r="E10" s="79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</row>
    <row r="11" spans="1:19" ht="12.75" customHeight="1">
      <c r="A11" s="11"/>
      <c r="B11" s="80" t="s">
        <v>35</v>
      </c>
      <c r="C11" s="80"/>
      <c r="D11" s="81">
        <v>10</v>
      </c>
      <c r="E11" s="81">
        <v>10</v>
      </c>
      <c r="F11" s="8">
        <v>0</v>
      </c>
      <c r="G11" s="8">
        <f>72.5*E11/100</f>
        <v>7.25</v>
      </c>
      <c r="H11" s="8">
        <f>1.3*E11/100</f>
        <v>0.13</v>
      </c>
      <c r="I11" s="8">
        <f>661*E11/100</f>
        <v>66.1</v>
      </c>
      <c r="J11" s="8">
        <f>23*E11/100</f>
        <v>2.3</v>
      </c>
      <c r="K11" s="9">
        <f>22*E11/100</f>
        <v>2.2</v>
      </c>
      <c r="L11" s="8">
        <f>3*E11/100</f>
        <v>0.3</v>
      </c>
      <c r="M11" s="9">
        <f>19*E11/100</f>
        <v>1.9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 ht="12.75" customHeight="1">
      <c r="A12" s="82" t="s">
        <v>182</v>
      </c>
      <c r="B12" s="3" t="s">
        <v>183</v>
      </c>
      <c r="C12" s="83"/>
      <c r="D12" s="3">
        <v>40</v>
      </c>
      <c r="E12" s="3"/>
      <c r="F12" s="3">
        <v>9.56</v>
      </c>
      <c r="G12" s="3">
        <v>1.03</v>
      </c>
      <c r="H12" s="3">
        <v>81.04</v>
      </c>
      <c r="I12" s="3">
        <v>80.9</v>
      </c>
      <c r="J12" s="3">
        <v>40.3</v>
      </c>
      <c r="K12" s="3">
        <v>8.1</v>
      </c>
      <c r="L12" s="3">
        <v>12.4</v>
      </c>
      <c r="M12" s="3">
        <v>24.9</v>
      </c>
      <c r="N12" s="3">
        <v>0.48</v>
      </c>
      <c r="O12" s="3">
        <v>0</v>
      </c>
      <c r="P12" s="3">
        <v>0</v>
      </c>
      <c r="Q12" s="3">
        <v>0</v>
      </c>
      <c r="R12" s="3">
        <v>0.462</v>
      </c>
      <c r="S12" s="3">
        <v>0</v>
      </c>
    </row>
    <row r="13" spans="1:19" ht="12.75" customHeight="1">
      <c r="A13" s="11"/>
      <c r="B13" s="24" t="s">
        <v>35</v>
      </c>
      <c r="C13" s="24"/>
      <c r="D13" s="23">
        <v>10</v>
      </c>
      <c r="E13" s="23">
        <v>10</v>
      </c>
      <c r="F13" s="8">
        <f>72.5*D13/100</f>
        <v>7.25</v>
      </c>
      <c r="G13" s="8">
        <f>1.3*D13/100</f>
        <v>0.13</v>
      </c>
      <c r="H13" s="8">
        <f>661*D13/100</f>
        <v>66.1</v>
      </c>
      <c r="I13" s="8">
        <f>23*D13/100</f>
        <v>2.3</v>
      </c>
      <c r="J13" s="9">
        <f>22*D13/100</f>
        <v>2.2</v>
      </c>
      <c r="K13" s="8">
        <f>3*D13/100</f>
        <v>0.3</v>
      </c>
      <c r="L13" s="9">
        <f>19*D13/100</f>
        <v>1.9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38">
        <v>0</v>
      </c>
    </row>
    <row r="14" spans="1:19" ht="12.75" customHeight="1">
      <c r="A14" s="11"/>
      <c r="B14" s="23" t="s">
        <v>184</v>
      </c>
      <c r="C14" s="23"/>
      <c r="D14" s="23">
        <v>30</v>
      </c>
      <c r="E14" s="8">
        <v>30</v>
      </c>
      <c r="F14" s="38">
        <f>7.7*E14/100</f>
        <v>2.31</v>
      </c>
      <c r="G14" s="38">
        <f>3*E14/100</f>
        <v>0.9</v>
      </c>
      <c r="H14" s="38">
        <f>49.8*E14/100</f>
        <v>14.94</v>
      </c>
      <c r="I14" s="38">
        <f>262*E14/100</f>
        <v>78.6</v>
      </c>
      <c r="J14" s="38">
        <f>127*E14/100</f>
        <v>38.1</v>
      </c>
      <c r="K14" s="38">
        <f>26*E14/100</f>
        <v>7.8</v>
      </c>
      <c r="L14" s="38">
        <f>35*E14/100</f>
        <v>10.5</v>
      </c>
      <c r="M14" s="38">
        <f>83*E14/100</f>
        <v>24.9</v>
      </c>
      <c r="N14" s="38">
        <f>1.6*E14/100</f>
        <v>0.48</v>
      </c>
      <c r="O14" s="38">
        <v>0</v>
      </c>
      <c r="P14" s="38">
        <v>0</v>
      </c>
      <c r="Q14" s="38">
        <v>0</v>
      </c>
      <c r="R14" s="38">
        <f>1.54*E14/100</f>
        <v>0.462</v>
      </c>
      <c r="S14" s="38">
        <v>0</v>
      </c>
    </row>
    <row r="15" spans="1:19" ht="12.75" customHeight="1">
      <c r="A15" s="84" t="s">
        <v>185</v>
      </c>
      <c r="B15" s="85" t="s">
        <v>186</v>
      </c>
      <c r="C15" s="85" t="s">
        <v>187</v>
      </c>
      <c r="D15" s="85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ht="12.75" customHeight="1">
      <c r="A16" s="87" t="s">
        <v>188</v>
      </c>
      <c r="B16" s="88" t="s">
        <v>189</v>
      </c>
      <c r="C16" s="88"/>
      <c r="D16" s="88">
        <v>50</v>
      </c>
      <c r="E16" s="88">
        <v>50</v>
      </c>
      <c r="F16" s="88">
        <v>0.1</v>
      </c>
      <c r="G16" s="88">
        <v>0</v>
      </c>
      <c r="H16" s="88">
        <v>0</v>
      </c>
      <c r="I16" s="88">
        <v>0.8</v>
      </c>
      <c r="J16" s="88">
        <v>12.4</v>
      </c>
      <c r="K16" s="88">
        <v>2.5</v>
      </c>
      <c r="L16" s="88">
        <v>2.2</v>
      </c>
      <c r="M16" s="88">
        <v>4.1</v>
      </c>
      <c r="N16" s="88">
        <v>0.4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</row>
    <row r="17" spans="1:19" ht="12.75" customHeight="1">
      <c r="A17" s="89"/>
      <c r="B17" s="88" t="s">
        <v>28</v>
      </c>
      <c r="C17" s="88"/>
      <c r="D17" s="88">
        <v>15</v>
      </c>
      <c r="E17" s="88">
        <v>15</v>
      </c>
      <c r="F17" s="88">
        <v>0</v>
      </c>
      <c r="G17" s="88">
        <v>0</v>
      </c>
      <c r="H17" s="88">
        <v>15</v>
      </c>
      <c r="I17" s="88">
        <v>56.8</v>
      </c>
      <c r="J17" s="88">
        <v>0.5</v>
      </c>
      <c r="K17" s="88">
        <v>0.4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</row>
    <row r="18" spans="1:19" ht="12.75" customHeight="1">
      <c r="A18" s="89"/>
      <c r="B18" s="88" t="s">
        <v>33</v>
      </c>
      <c r="C18" s="88"/>
      <c r="D18" s="88">
        <v>150</v>
      </c>
      <c r="E18" s="88">
        <v>150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</row>
    <row r="19" spans="1:19" ht="12.75">
      <c r="A19" s="11"/>
      <c r="B19" s="2" t="s">
        <v>1</v>
      </c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11" t="s">
        <v>55</v>
      </c>
      <c r="B20" s="20" t="s">
        <v>173</v>
      </c>
      <c r="C20" s="20">
        <v>250</v>
      </c>
      <c r="D20" s="23"/>
      <c r="E20" s="3"/>
      <c r="F20" s="3">
        <v>3.08</v>
      </c>
      <c r="G20" s="3">
        <v>6.1</v>
      </c>
      <c r="H20" s="3">
        <v>17.29</v>
      </c>
      <c r="I20" s="3">
        <v>138.55</v>
      </c>
      <c r="J20" s="3">
        <v>482.2</v>
      </c>
      <c r="K20" s="3">
        <v>20.2</v>
      </c>
      <c r="L20" s="3">
        <v>50.5</v>
      </c>
      <c r="M20" s="3">
        <v>29.98</v>
      </c>
      <c r="N20" s="3">
        <v>0.41</v>
      </c>
      <c r="O20" s="3">
        <v>0.09</v>
      </c>
      <c r="P20" s="3">
        <v>0</v>
      </c>
      <c r="Q20" s="3">
        <v>0</v>
      </c>
      <c r="R20" s="3">
        <v>1.15</v>
      </c>
      <c r="S20" s="3">
        <v>16.75</v>
      </c>
    </row>
    <row r="21" spans="1:19" ht="12.75">
      <c r="A21" s="11"/>
      <c r="B21" s="27" t="s">
        <v>29</v>
      </c>
      <c r="C21" s="27"/>
      <c r="D21" s="23">
        <v>100</v>
      </c>
      <c r="E21" s="23">
        <v>75</v>
      </c>
      <c r="F21" s="23">
        <v>1.5</v>
      </c>
      <c r="G21" s="23">
        <v>0.3</v>
      </c>
      <c r="H21" s="23">
        <v>12.23</v>
      </c>
      <c r="I21" s="23">
        <v>57.75</v>
      </c>
      <c r="J21" s="23">
        <v>426</v>
      </c>
      <c r="K21" s="23">
        <v>7.5</v>
      </c>
      <c r="L21" s="23">
        <v>43.5</v>
      </c>
      <c r="M21" s="23">
        <v>0.68</v>
      </c>
      <c r="N21" s="23">
        <v>0</v>
      </c>
      <c r="O21" s="23">
        <v>0.09</v>
      </c>
      <c r="P21" s="23">
        <v>0</v>
      </c>
      <c r="Q21" s="23">
        <v>0</v>
      </c>
      <c r="R21" s="23">
        <v>0.98</v>
      </c>
      <c r="S21" s="23">
        <v>15</v>
      </c>
    </row>
    <row r="22" spans="1:19" ht="12.75">
      <c r="A22" s="11"/>
      <c r="B22" s="27" t="s">
        <v>56</v>
      </c>
      <c r="C22" s="27"/>
      <c r="D22" s="23">
        <v>5</v>
      </c>
      <c r="E22" s="23">
        <v>5</v>
      </c>
      <c r="F22" s="23">
        <v>0.63</v>
      </c>
      <c r="G22" s="23">
        <v>0</v>
      </c>
      <c r="H22" s="23">
        <v>3.6</v>
      </c>
      <c r="I22" s="23">
        <v>16.3</v>
      </c>
      <c r="J22" s="23">
        <v>0</v>
      </c>
      <c r="K22" s="23">
        <v>0</v>
      </c>
      <c r="L22" s="23">
        <v>0</v>
      </c>
      <c r="M22" s="23">
        <v>13.8</v>
      </c>
      <c r="N22" s="23">
        <v>0.34</v>
      </c>
      <c r="O22" s="23">
        <v>0</v>
      </c>
      <c r="P22" s="23">
        <v>0</v>
      </c>
      <c r="Q22" s="23">
        <v>0</v>
      </c>
      <c r="R22" s="23">
        <v>0.07</v>
      </c>
      <c r="S22" s="23">
        <v>0</v>
      </c>
    </row>
    <row r="23" spans="1:19" ht="12.75">
      <c r="A23" s="11"/>
      <c r="B23" s="27" t="s">
        <v>30</v>
      </c>
      <c r="C23" s="27"/>
      <c r="D23" s="23">
        <v>12.5</v>
      </c>
      <c r="E23" s="23">
        <v>10</v>
      </c>
      <c r="F23" s="23">
        <v>0.13</v>
      </c>
      <c r="G23" s="23">
        <v>0</v>
      </c>
      <c r="H23" s="23">
        <v>0.69</v>
      </c>
      <c r="I23" s="23">
        <v>3.5</v>
      </c>
      <c r="J23" s="23">
        <v>20</v>
      </c>
      <c r="K23" s="23">
        <v>2.7</v>
      </c>
      <c r="L23" s="23">
        <v>3.8</v>
      </c>
      <c r="M23" s="23">
        <v>5.5</v>
      </c>
      <c r="N23" s="23">
        <v>0.07</v>
      </c>
      <c r="O23" s="23">
        <v>0</v>
      </c>
      <c r="P23" s="23">
        <v>0</v>
      </c>
      <c r="Q23" s="23">
        <v>0</v>
      </c>
      <c r="R23" s="23">
        <v>0.1</v>
      </c>
      <c r="S23" s="23">
        <v>0.5</v>
      </c>
    </row>
    <row r="24" spans="1:19" ht="12.75">
      <c r="A24" s="11"/>
      <c r="B24" s="27" t="s">
        <v>31</v>
      </c>
      <c r="C24" s="27"/>
      <c r="D24" s="23">
        <v>6</v>
      </c>
      <c r="E24" s="23">
        <v>5</v>
      </c>
      <c r="F24" s="23">
        <v>0</v>
      </c>
      <c r="G24" s="23">
        <v>0</v>
      </c>
      <c r="H24" s="23">
        <v>0.41</v>
      </c>
      <c r="I24" s="23">
        <v>2.05</v>
      </c>
      <c r="J24" s="23">
        <v>8.75</v>
      </c>
      <c r="K24" s="23">
        <v>1.55</v>
      </c>
      <c r="L24" s="23">
        <v>0.7</v>
      </c>
      <c r="M24" s="23">
        <v>2.9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0.5</v>
      </c>
    </row>
    <row r="25" spans="1:19" ht="12.75">
      <c r="A25" s="11"/>
      <c r="B25" s="27" t="s">
        <v>57</v>
      </c>
      <c r="C25" s="27"/>
      <c r="D25" s="23">
        <v>16.8</v>
      </c>
      <c r="E25" s="23">
        <v>15</v>
      </c>
      <c r="F25" s="23">
        <v>0.12</v>
      </c>
      <c r="G25" s="23">
        <v>0</v>
      </c>
      <c r="H25" s="23">
        <v>0.26</v>
      </c>
      <c r="I25" s="23">
        <v>1.95</v>
      </c>
      <c r="J25" s="23">
        <v>21.15</v>
      </c>
      <c r="K25" s="23">
        <v>3.45</v>
      </c>
      <c r="L25" s="23">
        <v>2.1</v>
      </c>
      <c r="M25" s="23">
        <v>3.6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0.75</v>
      </c>
    </row>
    <row r="26" spans="1:19" ht="12.75">
      <c r="A26" s="11"/>
      <c r="B26" s="65" t="s">
        <v>35</v>
      </c>
      <c r="C26" s="27"/>
      <c r="D26" s="23">
        <v>5</v>
      </c>
      <c r="E26" s="23">
        <v>5</v>
      </c>
      <c r="F26" s="23">
        <v>0</v>
      </c>
      <c r="G26" s="23">
        <v>5</v>
      </c>
      <c r="H26" s="23">
        <v>0</v>
      </c>
      <c r="I26" s="23">
        <v>45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1:19" ht="12.75">
      <c r="A27" s="11"/>
      <c r="B27" s="27" t="s">
        <v>46</v>
      </c>
      <c r="C27" s="27"/>
      <c r="D27" s="23">
        <v>1.7</v>
      </c>
      <c r="E27" s="23">
        <v>1.7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ht="12.75">
      <c r="A28" s="11"/>
      <c r="B28" s="27" t="s">
        <v>33</v>
      </c>
      <c r="C28" s="27"/>
      <c r="D28" s="23">
        <v>187.5</v>
      </c>
      <c r="E28" s="23">
        <v>187.5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</row>
    <row r="29" spans="1:19" ht="12.75">
      <c r="A29" s="11"/>
      <c r="B29" s="27" t="s">
        <v>50</v>
      </c>
      <c r="C29" s="27"/>
      <c r="D29" s="23">
        <v>5</v>
      </c>
      <c r="E29" s="23">
        <v>5</v>
      </c>
      <c r="F29" s="23">
        <v>0.7</v>
      </c>
      <c r="G29" s="23">
        <v>0.8</v>
      </c>
      <c r="H29" s="23">
        <v>0.1</v>
      </c>
      <c r="I29" s="23">
        <v>12</v>
      </c>
      <c r="J29" s="23">
        <v>6.3</v>
      </c>
      <c r="K29" s="23">
        <v>5</v>
      </c>
      <c r="L29" s="23">
        <v>0.4</v>
      </c>
      <c r="M29" s="23">
        <v>3.5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</row>
    <row r="30" spans="1:19" ht="12.75">
      <c r="A30" s="11" t="s">
        <v>78</v>
      </c>
      <c r="B30" s="5" t="s">
        <v>79</v>
      </c>
      <c r="C30" s="5">
        <v>60</v>
      </c>
      <c r="D30" s="15"/>
      <c r="E30" s="3">
        <v>60</v>
      </c>
      <c r="F30" s="3">
        <f>F31</f>
        <v>6.6</v>
      </c>
      <c r="G30" s="3">
        <f aca="true" t="shared" si="1" ref="G30:S30">G31</f>
        <v>14.34</v>
      </c>
      <c r="H30" s="3">
        <f t="shared" si="1"/>
        <v>0</v>
      </c>
      <c r="I30" s="3">
        <f t="shared" si="1"/>
        <v>156.6</v>
      </c>
      <c r="J30" s="3">
        <f t="shared" si="1"/>
        <v>132</v>
      </c>
      <c r="K30" s="3">
        <f t="shared" si="1"/>
        <v>21</v>
      </c>
      <c r="L30" s="3">
        <f t="shared" si="1"/>
        <v>12</v>
      </c>
      <c r="M30" s="3">
        <f t="shared" si="1"/>
        <v>95.4</v>
      </c>
      <c r="N30" s="3">
        <f t="shared" si="1"/>
        <v>1.08</v>
      </c>
      <c r="O30" s="3">
        <f t="shared" si="1"/>
        <v>0</v>
      </c>
      <c r="P30" s="3">
        <f t="shared" si="1"/>
        <v>0</v>
      </c>
      <c r="Q30" s="3">
        <f t="shared" si="1"/>
        <v>0</v>
      </c>
      <c r="R30" s="3">
        <f t="shared" si="1"/>
        <v>1.38</v>
      </c>
      <c r="S30" s="3">
        <f t="shared" si="1"/>
        <v>0</v>
      </c>
    </row>
    <row r="31" spans="1:19" ht="12.75">
      <c r="A31" s="11"/>
      <c r="B31" s="18" t="s">
        <v>80</v>
      </c>
      <c r="C31" s="18"/>
      <c r="D31" s="15">
        <v>61</v>
      </c>
      <c r="E31" s="15">
        <v>60</v>
      </c>
      <c r="F31" s="15">
        <f>11*E31/100</f>
        <v>6.6</v>
      </c>
      <c r="G31" s="15">
        <f>23.9*E31/100</f>
        <v>14.34</v>
      </c>
      <c r="H31" s="17">
        <v>0</v>
      </c>
      <c r="I31" s="15">
        <f>261*E31/100</f>
        <v>156.6</v>
      </c>
      <c r="J31" s="16">
        <f>220*E31/100</f>
        <v>132</v>
      </c>
      <c r="K31" s="17">
        <f>35*E31/100</f>
        <v>21</v>
      </c>
      <c r="L31" s="15">
        <f>20*E31/100</f>
        <v>12</v>
      </c>
      <c r="M31" s="15">
        <f>159*E31/100</f>
        <v>95.4</v>
      </c>
      <c r="N31" s="15">
        <f>1.8*E31/100</f>
        <v>1.08</v>
      </c>
      <c r="O31" s="15">
        <v>0</v>
      </c>
      <c r="P31" s="15">
        <v>0</v>
      </c>
      <c r="Q31" s="15">
        <v>0</v>
      </c>
      <c r="R31" s="15">
        <f>2.3*E31/100</f>
        <v>1.38</v>
      </c>
      <c r="S31" s="15">
        <v>0</v>
      </c>
    </row>
    <row r="32" spans="1:19" ht="12.75">
      <c r="A32" s="11" t="s">
        <v>71</v>
      </c>
      <c r="B32" s="5" t="s">
        <v>72</v>
      </c>
      <c r="C32" s="5">
        <v>150</v>
      </c>
      <c r="D32" s="15"/>
      <c r="E32" s="3"/>
      <c r="F32" s="3">
        <f>F33+F34+F35</f>
        <v>8.928999999999998</v>
      </c>
      <c r="G32" s="3">
        <f aca="true" t="shared" si="2" ref="G32:S32">G33+G34+G35</f>
        <v>0.6260000000000001</v>
      </c>
      <c r="H32" s="3">
        <f t="shared" si="2"/>
        <v>68.59700000000001</v>
      </c>
      <c r="I32" s="3">
        <f t="shared" si="2"/>
        <v>173.02</v>
      </c>
      <c r="J32" s="3">
        <f t="shared" si="2"/>
        <v>64.34</v>
      </c>
      <c r="K32" s="3">
        <f t="shared" si="2"/>
        <v>9.33</v>
      </c>
      <c r="L32" s="3">
        <f t="shared" si="2"/>
        <v>9.11</v>
      </c>
      <c r="M32" s="3">
        <f t="shared" si="2"/>
        <v>44.37</v>
      </c>
      <c r="N32" s="3">
        <f t="shared" si="2"/>
        <v>0.612</v>
      </c>
      <c r="O32" s="3">
        <f t="shared" si="2"/>
        <v>0</v>
      </c>
      <c r="P32" s="3">
        <f t="shared" si="2"/>
        <v>0</v>
      </c>
      <c r="Q32" s="3">
        <f t="shared" si="2"/>
        <v>0</v>
      </c>
      <c r="R32" s="3">
        <f t="shared" si="2"/>
        <v>0</v>
      </c>
      <c r="S32" s="3">
        <f t="shared" si="2"/>
        <v>0</v>
      </c>
    </row>
    <row r="33" spans="1:19" ht="12.75">
      <c r="A33" s="11"/>
      <c r="B33" s="18" t="s">
        <v>73</v>
      </c>
      <c r="C33" s="18"/>
      <c r="D33" s="15">
        <v>51</v>
      </c>
      <c r="E33" s="15">
        <v>51</v>
      </c>
      <c r="F33" s="15">
        <f>10.4*E33/100</f>
        <v>5.303999999999999</v>
      </c>
      <c r="G33" s="15">
        <f>1.1*E33/100</f>
        <v>0.561</v>
      </c>
      <c r="H33" s="15">
        <f>69.7*E33/100</f>
        <v>35.547000000000004</v>
      </c>
      <c r="I33" s="15">
        <f>337*E33/100</f>
        <v>171.87</v>
      </c>
      <c r="J33" s="17">
        <f>124*E33/100</f>
        <v>63.24</v>
      </c>
      <c r="K33" s="15">
        <f>18*E33/100</f>
        <v>9.18</v>
      </c>
      <c r="L33" s="15">
        <f>16*E33/100</f>
        <v>8.16</v>
      </c>
      <c r="M33" s="15">
        <f>87*E33/100</f>
        <v>44.37</v>
      </c>
      <c r="N33" s="15">
        <f>1.2*E33/100</f>
        <v>0.612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ht="16.5" customHeight="1">
      <c r="A34" s="11"/>
      <c r="B34" s="18" t="s">
        <v>46</v>
      </c>
      <c r="C34" s="18"/>
      <c r="D34" s="15">
        <v>1</v>
      </c>
      <c r="E34" s="15">
        <v>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ht="16.5" customHeight="1">
      <c r="A35" s="11"/>
      <c r="B35" s="18" t="s">
        <v>35</v>
      </c>
      <c r="C35" s="18"/>
      <c r="D35" s="15">
        <v>5</v>
      </c>
      <c r="E35" s="15">
        <v>5</v>
      </c>
      <c r="F35" s="15">
        <f>72.5*D35/100</f>
        <v>3.625</v>
      </c>
      <c r="G35" s="15">
        <f>1.3*D35/100</f>
        <v>0.065</v>
      </c>
      <c r="H35" s="15">
        <f>661*D35/100</f>
        <v>33.05</v>
      </c>
      <c r="I35" s="15">
        <f>23*D35/100</f>
        <v>1.15</v>
      </c>
      <c r="J35" s="17">
        <f>22*D35/100</f>
        <v>1.1</v>
      </c>
      <c r="K35" s="15">
        <f>3*D35/100</f>
        <v>0.15</v>
      </c>
      <c r="L35" s="17">
        <f>19*D35/100</f>
        <v>0.95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38">
        <v>0</v>
      </c>
    </row>
    <row r="36" spans="1:19" ht="12.75">
      <c r="A36" s="11" t="s">
        <v>74</v>
      </c>
      <c r="B36" s="5" t="s">
        <v>75</v>
      </c>
      <c r="C36" s="39" t="s">
        <v>160</v>
      </c>
      <c r="D36" s="23"/>
      <c r="E36" s="2"/>
      <c r="F36" s="3">
        <f aca="true" t="shared" si="3" ref="F36:S36">SUM(F37:F39)</f>
        <v>0.1</v>
      </c>
      <c r="G36" s="3">
        <f t="shared" si="3"/>
        <v>0</v>
      </c>
      <c r="H36" s="3">
        <f t="shared" si="3"/>
        <v>15</v>
      </c>
      <c r="I36" s="3">
        <f t="shared" si="3"/>
        <v>57.699999999999996</v>
      </c>
      <c r="J36" s="3">
        <f t="shared" si="3"/>
        <v>12.9</v>
      </c>
      <c r="K36" s="3">
        <f t="shared" si="3"/>
        <v>2.9</v>
      </c>
      <c r="L36" s="3">
        <f t="shared" si="3"/>
        <v>2.2</v>
      </c>
      <c r="M36" s="3">
        <f t="shared" si="3"/>
        <v>4.12</v>
      </c>
      <c r="N36" s="3">
        <f t="shared" si="3"/>
        <v>0.4</v>
      </c>
      <c r="O36" s="3">
        <f t="shared" si="3"/>
        <v>0</v>
      </c>
      <c r="P36" s="3">
        <f t="shared" si="3"/>
        <v>0</v>
      </c>
      <c r="Q36" s="3">
        <f t="shared" si="3"/>
        <v>0</v>
      </c>
      <c r="R36" s="32">
        <f t="shared" si="3"/>
        <v>0</v>
      </c>
      <c r="S36" s="3">
        <f t="shared" si="3"/>
        <v>0</v>
      </c>
    </row>
    <row r="37" spans="1:19" ht="12.75">
      <c r="A37" s="11"/>
      <c r="B37" s="13" t="s">
        <v>38</v>
      </c>
      <c r="C37" s="23"/>
      <c r="D37" s="33">
        <v>50</v>
      </c>
      <c r="E37" s="33">
        <v>50</v>
      </c>
      <c r="F37" s="8">
        <v>0.1</v>
      </c>
      <c r="G37" s="8">
        <v>0</v>
      </c>
      <c r="H37" s="8">
        <v>0</v>
      </c>
      <c r="I37" s="8">
        <v>0.8</v>
      </c>
      <c r="J37" s="9">
        <v>12.4</v>
      </c>
      <c r="K37" s="8">
        <v>2.5</v>
      </c>
      <c r="L37" s="8">
        <v>2.2</v>
      </c>
      <c r="M37" s="9">
        <v>4.12</v>
      </c>
      <c r="N37" s="8">
        <v>0.4</v>
      </c>
      <c r="O37" s="8">
        <v>0</v>
      </c>
      <c r="P37" s="8">
        <v>0</v>
      </c>
      <c r="Q37" s="8">
        <v>0</v>
      </c>
      <c r="R37" s="34">
        <v>0</v>
      </c>
      <c r="S37" s="8">
        <v>0</v>
      </c>
    </row>
    <row r="38" spans="1:19" ht="12.75">
      <c r="A38" s="11"/>
      <c r="B38" s="13" t="s">
        <v>28</v>
      </c>
      <c r="C38" s="23"/>
      <c r="D38" s="33">
        <v>15</v>
      </c>
      <c r="E38" s="33">
        <v>15</v>
      </c>
      <c r="F38" s="8">
        <v>0</v>
      </c>
      <c r="G38" s="8">
        <v>0</v>
      </c>
      <c r="H38" s="8">
        <v>15</v>
      </c>
      <c r="I38" s="8">
        <v>56.9</v>
      </c>
      <c r="J38" s="9">
        <v>0.5</v>
      </c>
      <c r="K38" s="8">
        <v>0.4</v>
      </c>
      <c r="L38" s="8">
        <v>0</v>
      </c>
      <c r="M38" s="9">
        <v>0</v>
      </c>
      <c r="N38" s="8">
        <v>0</v>
      </c>
      <c r="O38" s="8">
        <v>0</v>
      </c>
      <c r="P38" s="8">
        <v>0</v>
      </c>
      <c r="Q38" s="8">
        <v>0</v>
      </c>
      <c r="R38" s="34">
        <v>0</v>
      </c>
      <c r="S38" s="8">
        <v>0</v>
      </c>
    </row>
    <row r="39" spans="1:19" ht="12.75">
      <c r="A39" s="11"/>
      <c r="B39" s="13" t="s">
        <v>33</v>
      </c>
      <c r="C39" s="23"/>
      <c r="D39" s="33">
        <v>150</v>
      </c>
      <c r="E39" s="33">
        <v>150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34">
        <v>0</v>
      </c>
      <c r="S39" s="8">
        <v>0</v>
      </c>
    </row>
    <row r="40" spans="1:19" ht="12.75">
      <c r="A40" s="11"/>
      <c r="B40" s="18" t="s">
        <v>77</v>
      </c>
      <c r="C40" s="18"/>
      <c r="D40" s="15">
        <v>0.2</v>
      </c>
      <c r="E40" s="15">
        <v>0.2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0.2</v>
      </c>
    </row>
    <row r="41" spans="1:19" ht="12.75">
      <c r="A41" s="11" t="s">
        <v>23</v>
      </c>
      <c r="B41" s="5" t="s">
        <v>89</v>
      </c>
      <c r="C41" s="5">
        <v>20</v>
      </c>
      <c r="D41" s="8">
        <v>20</v>
      </c>
      <c r="E41" s="38">
        <v>20</v>
      </c>
      <c r="F41" s="3">
        <f>7.7*E41/100</f>
        <v>1.54</v>
      </c>
      <c r="G41" s="3">
        <v>5.4</v>
      </c>
      <c r="H41" s="3">
        <f>49.8*E41/100</f>
        <v>9.96</v>
      </c>
      <c r="I41" s="3">
        <f>262*E41/100</f>
        <v>52.4</v>
      </c>
      <c r="J41" s="3">
        <f>127*E41/100</f>
        <v>25.4</v>
      </c>
      <c r="K41" s="3">
        <f>26*E41/100</f>
        <v>5.2</v>
      </c>
      <c r="L41" s="3">
        <f>35*E41/100</f>
        <v>7</v>
      </c>
      <c r="M41" s="3">
        <f>83*E41/100</f>
        <v>16.6</v>
      </c>
      <c r="N41" s="3">
        <f>1.6*E41/100</f>
        <v>0.32</v>
      </c>
      <c r="O41" s="3">
        <v>0</v>
      </c>
      <c r="P41" s="3">
        <v>0</v>
      </c>
      <c r="Q41" s="3">
        <v>0</v>
      </c>
      <c r="R41" s="3">
        <f>1.54*E41/100</f>
        <v>0.308</v>
      </c>
      <c r="S41" s="3">
        <v>0</v>
      </c>
    </row>
    <row r="42" spans="1:19" ht="12.75">
      <c r="A42" s="3" t="s">
        <v>138</v>
      </c>
      <c r="B42" s="5" t="s">
        <v>139</v>
      </c>
      <c r="C42" s="5">
        <v>20</v>
      </c>
      <c r="D42" s="23">
        <v>20</v>
      </c>
      <c r="E42" s="23">
        <v>20</v>
      </c>
      <c r="F42" s="3">
        <f>6.6*E42/100</f>
        <v>1.32</v>
      </c>
      <c r="G42" s="3">
        <f>1.2*E42/100</f>
        <v>0.24</v>
      </c>
      <c r="H42" s="3">
        <f>34.2*E42/100</f>
        <v>6.84</v>
      </c>
      <c r="I42" s="3">
        <f>181*E42/100</f>
        <v>36.2</v>
      </c>
      <c r="J42" s="3">
        <f>94*E42/100</f>
        <v>18.8</v>
      </c>
      <c r="K42" s="3">
        <f>34*E42/100</f>
        <v>6.8</v>
      </c>
      <c r="L42" s="3">
        <f>41*E42/100</f>
        <v>8.2</v>
      </c>
      <c r="M42" s="3">
        <f>120*E42/100</f>
        <v>24</v>
      </c>
      <c r="N42" s="3">
        <f>2.3*E42/100</f>
        <v>0.46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2.75">
      <c r="A43" s="11"/>
      <c r="B43" s="2" t="s">
        <v>162</v>
      </c>
      <c r="C43" s="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11" t="s">
        <v>78</v>
      </c>
      <c r="B44" s="5" t="s">
        <v>79</v>
      </c>
      <c r="C44" s="5">
        <v>60</v>
      </c>
      <c r="D44" s="15"/>
      <c r="E44" s="3">
        <v>60</v>
      </c>
      <c r="F44" s="3">
        <f>F45</f>
        <v>6.6</v>
      </c>
      <c r="G44" s="3">
        <f aca="true" t="shared" si="4" ref="G44:S44">G45</f>
        <v>14.34</v>
      </c>
      <c r="H44" s="3">
        <f t="shared" si="4"/>
        <v>0</v>
      </c>
      <c r="I44" s="3">
        <f t="shared" si="4"/>
        <v>156.6</v>
      </c>
      <c r="J44" s="3">
        <f t="shared" si="4"/>
        <v>132</v>
      </c>
      <c r="K44" s="3">
        <f t="shared" si="4"/>
        <v>21</v>
      </c>
      <c r="L44" s="3">
        <f t="shared" si="4"/>
        <v>12</v>
      </c>
      <c r="M44" s="3">
        <f t="shared" si="4"/>
        <v>95.4</v>
      </c>
      <c r="N44" s="3">
        <f t="shared" si="4"/>
        <v>1.08</v>
      </c>
      <c r="O44" s="3">
        <f t="shared" si="4"/>
        <v>0</v>
      </c>
      <c r="P44" s="3">
        <f t="shared" si="4"/>
        <v>0</v>
      </c>
      <c r="Q44" s="3">
        <f t="shared" si="4"/>
        <v>0</v>
      </c>
      <c r="R44" s="3">
        <f t="shared" si="4"/>
        <v>1.38</v>
      </c>
      <c r="S44" s="3">
        <f t="shared" si="4"/>
        <v>0</v>
      </c>
    </row>
    <row r="45" spans="1:19" ht="12.75">
      <c r="A45" s="11"/>
      <c r="B45" s="18" t="s">
        <v>80</v>
      </c>
      <c r="C45" s="18"/>
      <c r="D45" s="15">
        <v>61</v>
      </c>
      <c r="E45" s="15">
        <v>60</v>
      </c>
      <c r="F45" s="15">
        <f>11*E45/100</f>
        <v>6.6</v>
      </c>
      <c r="G45" s="15">
        <f>23.9*E45/100</f>
        <v>14.34</v>
      </c>
      <c r="H45" s="17">
        <v>0</v>
      </c>
      <c r="I45" s="15">
        <f>261*E45/100</f>
        <v>156.6</v>
      </c>
      <c r="J45" s="16">
        <f>220*E45/100</f>
        <v>132</v>
      </c>
      <c r="K45" s="17">
        <f>35*E45/100</f>
        <v>21</v>
      </c>
      <c r="L45" s="15">
        <f>20*E45/100</f>
        <v>12</v>
      </c>
      <c r="M45" s="15">
        <f>159*E45/100</f>
        <v>95.4</v>
      </c>
      <c r="N45" s="15">
        <f>1.8*E45/100</f>
        <v>1.08</v>
      </c>
      <c r="O45" s="15">
        <v>0</v>
      </c>
      <c r="P45" s="15">
        <v>0</v>
      </c>
      <c r="Q45" s="15">
        <v>0</v>
      </c>
      <c r="R45" s="15">
        <f>2.3*E45/100</f>
        <v>1.38</v>
      </c>
      <c r="S45" s="15">
        <v>0</v>
      </c>
    </row>
    <row r="46" spans="1:19" ht="12.75">
      <c r="A46" s="11" t="s">
        <v>71</v>
      </c>
      <c r="B46" s="5" t="s">
        <v>72</v>
      </c>
      <c r="C46" s="5">
        <v>150</v>
      </c>
      <c r="D46" s="15"/>
      <c r="E46" s="3"/>
      <c r="F46" s="3">
        <f>F47+F48+F49</f>
        <v>8.928999999999998</v>
      </c>
      <c r="G46" s="3">
        <f aca="true" t="shared" si="5" ref="G46:S46">G47+G48+G49</f>
        <v>0.6260000000000001</v>
      </c>
      <c r="H46" s="3">
        <f t="shared" si="5"/>
        <v>68.59700000000001</v>
      </c>
      <c r="I46" s="3">
        <f t="shared" si="5"/>
        <v>173.02</v>
      </c>
      <c r="J46" s="3">
        <f t="shared" si="5"/>
        <v>64.34</v>
      </c>
      <c r="K46" s="3">
        <f t="shared" si="5"/>
        <v>9.33</v>
      </c>
      <c r="L46" s="3">
        <f t="shared" si="5"/>
        <v>9.11</v>
      </c>
      <c r="M46" s="3">
        <f t="shared" si="5"/>
        <v>44.37</v>
      </c>
      <c r="N46" s="3">
        <f t="shared" si="5"/>
        <v>0.612</v>
      </c>
      <c r="O46" s="3">
        <f t="shared" si="5"/>
        <v>0</v>
      </c>
      <c r="P46" s="3">
        <f t="shared" si="5"/>
        <v>0</v>
      </c>
      <c r="Q46" s="3">
        <f t="shared" si="5"/>
        <v>0</v>
      </c>
      <c r="R46" s="3">
        <f t="shared" si="5"/>
        <v>0</v>
      </c>
      <c r="S46" s="3">
        <f t="shared" si="5"/>
        <v>0</v>
      </c>
    </row>
    <row r="47" spans="1:19" ht="12.75">
      <c r="A47" s="11"/>
      <c r="B47" s="18" t="s">
        <v>73</v>
      </c>
      <c r="C47" s="18"/>
      <c r="D47" s="15">
        <v>51</v>
      </c>
      <c r="E47" s="15">
        <v>51</v>
      </c>
      <c r="F47" s="15">
        <f>10.4*E47/100</f>
        <v>5.303999999999999</v>
      </c>
      <c r="G47" s="15">
        <f>1.1*E47/100</f>
        <v>0.561</v>
      </c>
      <c r="H47" s="15">
        <f>69.7*E47/100</f>
        <v>35.547000000000004</v>
      </c>
      <c r="I47" s="15">
        <f>337*E47/100</f>
        <v>171.87</v>
      </c>
      <c r="J47" s="17">
        <f>124*E47/100</f>
        <v>63.24</v>
      </c>
      <c r="K47" s="15">
        <f>18*E47/100</f>
        <v>9.18</v>
      </c>
      <c r="L47" s="15">
        <f>16*E47/100</f>
        <v>8.16</v>
      </c>
      <c r="M47" s="15">
        <f>87*E47/100</f>
        <v>44.37</v>
      </c>
      <c r="N47" s="15">
        <f>1.2*E47/100</f>
        <v>0.612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ht="12.75">
      <c r="A48" s="11"/>
      <c r="B48" s="18" t="s">
        <v>46</v>
      </c>
      <c r="C48" s="18"/>
      <c r="D48" s="15">
        <v>1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1:19" ht="12.75">
      <c r="A49" s="11"/>
      <c r="B49" s="18" t="s">
        <v>35</v>
      </c>
      <c r="C49" s="18"/>
      <c r="D49" s="15">
        <v>5</v>
      </c>
      <c r="E49" s="15">
        <v>5</v>
      </c>
      <c r="F49" s="15">
        <f>72.5*D49/100</f>
        <v>3.625</v>
      </c>
      <c r="G49" s="15">
        <f>1.3*D49/100</f>
        <v>0.065</v>
      </c>
      <c r="H49" s="15">
        <f>661*D49/100</f>
        <v>33.05</v>
      </c>
      <c r="I49" s="15">
        <f>23*D49/100</f>
        <v>1.15</v>
      </c>
      <c r="J49" s="17">
        <f>22*D49/100</f>
        <v>1.1</v>
      </c>
      <c r="K49" s="15">
        <f>3*D49/100</f>
        <v>0.15</v>
      </c>
      <c r="L49" s="17">
        <f>19*D49/100</f>
        <v>0.95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38">
        <v>0</v>
      </c>
    </row>
    <row r="50" spans="1:19" ht="12.75">
      <c r="A50" s="11" t="s">
        <v>74</v>
      </c>
      <c r="B50" s="5" t="s">
        <v>75</v>
      </c>
      <c r="C50" s="39" t="s">
        <v>160</v>
      </c>
      <c r="D50" s="23"/>
      <c r="E50" s="2"/>
      <c r="F50" s="3">
        <f aca="true" t="shared" si="6" ref="F50:S50">SUM(F51:F53)</f>
        <v>0.1</v>
      </c>
      <c r="G50" s="3">
        <f t="shared" si="6"/>
        <v>0</v>
      </c>
      <c r="H50" s="3">
        <f t="shared" si="6"/>
        <v>15</v>
      </c>
      <c r="I50" s="3">
        <f t="shared" si="6"/>
        <v>57.699999999999996</v>
      </c>
      <c r="J50" s="3">
        <f t="shared" si="6"/>
        <v>12.9</v>
      </c>
      <c r="K50" s="3">
        <f t="shared" si="6"/>
        <v>2.9</v>
      </c>
      <c r="L50" s="3">
        <f t="shared" si="6"/>
        <v>2.2</v>
      </c>
      <c r="M50" s="3">
        <f t="shared" si="6"/>
        <v>4.12</v>
      </c>
      <c r="N50" s="3">
        <f t="shared" si="6"/>
        <v>0.4</v>
      </c>
      <c r="O50" s="3">
        <f t="shared" si="6"/>
        <v>0</v>
      </c>
      <c r="P50" s="3">
        <f t="shared" si="6"/>
        <v>0</v>
      </c>
      <c r="Q50" s="3">
        <f t="shared" si="6"/>
        <v>0</v>
      </c>
      <c r="R50" s="32">
        <f t="shared" si="6"/>
        <v>0</v>
      </c>
      <c r="S50" s="3">
        <f t="shared" si="6"/>
        <v>0</v>
      </c>
    </row>
    <row r="51" spans="1:19" ht="12.75">
      <c r="A51" s="11"/>
      <c r="B51" s="13" t="s">
        <v>38</v>
      </c>
      <c r="C51" s="23"/>
      <c r="D51" s="33">
        <v>50</v>
      </c>
      <c r="E51" s="33">
        <v>50</v>
      </c>
      <c r="F51" s="8">
        <v>0.1</v>
      </c>
      <c r="G51" s="8">
        <v>0</v>
      </c>
      <c r="H51" s="8">
        <v>0</v>
      </c>
      <c r="I51" s="8">
        <v>0.8</v>
      </c>
      <c r="J51" s="9">
        <v>12.4</v>
      </c>
      <c r="K51" s="8">
        <v>2.5</v>
      </c>
      <c r="L51" s="8">
        <v>2.2</v>
      </c>
      <c r="M51" s="9">
        <v>4.12</v>
      </c>
      <c r="N51" s="8">
        <v>0.4</v>
      </c>
      <c r="O51" s="8">
        <v>0</v>
      </c>
      <c r="P51" s="8">
        <v>0</v>
      </c>
      <c r="Q51" s="8">
        <v>0</v>
      </c>
      <c r="R51" s="34">
        <v>0</v>
      </c>
      <c r="S51" s="8">
        <v>0</v>
      </c>
    </row>
    <row r="52" spans="1:19" ht="12.75">
      <c r="A52" s="11"/>
      <c r="B52" s="13" t="s">
        <v>28</v>
      </c>
      <c r="C52" s="23"/>
      <c r="D52" s="33">
        <v>15</v>
      </c>
      <c r="E52" s="33">
        <v>15</v>
      </c>
      <c r="F52" s="8">
        <v>0</v>
      </c>
      <c r="G52" s="8">
        <v>0</v>
      </c>
      <c r="H52" s="8">
        <v>15</v>
      </c>
      <c r="I52" s="8">
        <v>56.9</v>
      </c>
      <c r="J52" s="9">
        <v>0.5</v>
      </c>
      <c r="K52" s="8">
        <v>0.4</v>
      </c>
      <c r="L52" s="8">
        <v>0</v>
      </c>
      <c r="M52" s="9">
        <v>0</v>
      </c>
      <c r="N52" s="8">
        <v>0</v>
      </c>
      <c r="O52" s="8">
        <v>0</v>
      </c>
      <c r="P52" s="8">
        <v>0</v>
      </c>
      <c r="Q52" s="8">
        <v>0</v>
      </c>
      <c r="R52" s="34">
        <v>0</v>
      </c>
      <c r="S52" s="8">
        <v>0</v>
      </c>
    </row>
    <row r="53" spans="1:19" ht="12.75">
      <c r="A53" s="11"/>
      <c r="B53" s="13" t="s">
        <v>33</v>
      </c>
      <c r="C53" s="23"/>
      <c r="D53" s="33">
        <v>150</v>
      </c>
      <c r="E53" s="33">
        <v>150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34">
        <v>0</v>
      </c>
      <c r="S53" s="8">
        <v>0</v>
      </c>
    </row>
    <row r="54" spans="1:19" ht="12.75">
      <c r="A54" s="11"/>
      <c r="B54" s="18" t="s">
        <v>77</v>
      </c>
      <c r="C54" s="18"/>
      <c r="D54" s="15">
        <v>0.2</v>
      </c>
      <c r="E54" s="15">
        <v>0.2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0.2</v>
      </c>
    </row>
    <row r="55" spans="1:19" ht="12.75">
      <c r="A55" s="11" t="s">
        <v>23</v>
      </c>
      <c r="B55" s="5" t="s">
        <v>89</v>
      </c>
      <c r="C55" s="5">
        <v>20</v>
      </c>
      <c r="D55" s="8">
        <v>20</v>
      </c>
      <c r="E55" s="38">
        <v>20</v>
      </c>
      <c r="F55" s="3">
        <f>7.7*E55/100</f>
        <v>1.54</v>
      </c>
      <c r="G55" s="3">
        <v>5.4</v>
      </c>
      <c r="H55" s="3">
        <f>49.8*E55/100</f>
        <v>9.96</v>
      </c>
      <c r="I55" s="3">
        <f>262*E55/100</f>
        <v>52.4</v>
      </c>
      <c r="J55" s="3">
        <f>127*E55/100</f>
        <v>25.4</v>
      </c>
      <c r="K55" s="3">
        <f>26*E55/100</f>
        <v>5.2</v>
      </c>
      <c r="L55" s="3">
        <f>35*E55/100</f>
        <v>7</v>
      </c>
      <c r="M55" s="3">
        <f>83*E55/100</f>
        <v>16.6</v>
      </c>
      <c r="N55" s="3">
        <f>1.6*E55/100</f>
        <v>0.32</v>
      </c>
      <c r="O55" s="3">
        <v>0</v>
      </c>
      <c r="P55" s="3">
        <v>0</v>
      </c>
      <c r="Q55" s="3">
        <v>0</v>
      </c>
      <c r="R55" s="3">
        <f>1.54*E55/100</f>
        <v>0.308</v>
      </c>
      <c r="S55" s="3">
        <v>0</v>
      </c>
    </row>
    <row r="56" spans="1:19" ht="12.75">
      <c r="A56" s="3" t="s">
        <v>138</v>
      </c>
      <c r="B56" s="5" t="s">
        <v>139</v>
      </c>
      <c r="C56" s="5">
        <v>20</v>
      </c>
      <c r="D56" s="23">
        <v>20</v>
      </c>
      <c r="E56" s="23">
        <v>20</v>
      </c>
      <c r="F56" s="3">
        <f>6.6*E56/100</f>
        <v>1.32</v>
      </c>
      <c r="G56" s="3">
        <f>1.2*E56/100</f>
        <v>0.24</v>
      </c>
      <c r="H56" s="3">
        <f>34.2*E56/100</f>
        <v>6.84</v>
      </c>
      <c r="I56" s="3">
        <f>181*E56/100</f>
        <v>36.2</v>
      </c>
      <c r="J56" s="3">
        <f>94*E56/100</f>
        <v>18.8</v>
      </c>
      <c r="K56" s="3">
        <f>34*E56/100</f>
        <v>6.8</v>
      </c>
      <c r="L56" s="3">
        <f>41*E56/100</f>
        <v>8.2</v>
      </c>
      <c r="M56" s="3">
        <f>120*E56/100</f>
        <v>24</v>
      </c>
      <c r="N56" s="3">
        <f>2.3*E56/100</f>
        <v>0.46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12.75">
      <c r="A57" s="11"/>
      <c r="B57" s="2" t="s">
        <v>3</v>
      </c>
      <c r="C57" s="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11"/>
      <c r="B58" s="2" t="s">
        <v>205</v>
      </c>
      <c r="C58" s="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11">
        <v>181</v>
      </c>
      <c r="B59" s="3" t="s">
        <v>190</v>
      </c>
      <c r="C59" s="32">
        <v>210</v>
      </c>
      <c r="D59" s="6"/>
      <c r="E59" s="6"/>
      <c r="F59" s="3">
        <v>33.9</v>
      </c>
      <c r="G59" s="3">
        <v>36.6</v>
      </c>
      <c r="H59" s="3">
        <v>53</v>
      </c>
      <c r="I59" s="3">
        <v>671.6</v>
      </c>
      <c r="J59" s="3">
        <v>601.7</v>
      </c>
      <c r="K59" s="7">
        <v>73.52</v>
      </c>
      <c r="L59" s="3">
        <v>88.9</v>
      </c>
      <c r="M59" s="3">
        <v>663.2</v>
      </c>
      <c r="N59" s="3">
        <v>7.53</v>
      </c>
      <c r="O59" s="3">
        <v>2.01</v>
      </c>
      <c r="P59" s="3">
        <v>0.2</v>
      </c>
      <c r="Q59" s="3">
        <v>0.3</v>
      </c>
      <c r="R59" s="3">
        <v>8.29</v>
      </c>
      <c r="S59" s="3">
        <v>4.4</v>
      </c>
    </row>
    <row r="60" spans="1:19" ht="12.75">
      <c r="A60" s="11"/>
      <c r="B60" s="37" t="s">
        <v>191</v>
      </c>
      <c r="C60" s="13"/>
      <c r="D60" s="33">
        <v>6</v>
      </c>
      <c r="E60" s="33">
        <v>6</v>
      </c>
      <c r="F60" s="8">
        <v>0</v>
      </c>
      <c r="G60" s="8">
        <v>14</v>
      </c>
      <c r="H60" s="8">
        <v>0</v>
      </c>
      <c r="I60" s="8">
        <v>126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.75">
      <c r="A61" s="11"/>
      <c r="B61" s="38" t="s">
        <v>35</v>
      </c>
      <c r="C61" s="8"/>
      <c r="D61" s="33">
        <v>15</v>
      </c>
      <c r="E61" s="33">
        <v>12</v>
      </c>
      <c r="F61" s="8">
        <v>0.2</v>
      </c>
      <c r="G61" s="8">
        <v>0</v>
      </c>
      <c r="H61" s="8">
        <v>1.1</v>
      </c>
      <c r="I61" s="8">
        <v>5.6</v>
      </c>
      <c r="J61" s="8">
        <v>40</v>
      </c>
      <c r="K61" s="9">
        <v>10.2</v>
      </c>
      <c r="L61" s="8">
        <v>7.6</v>
      </c>
      <c r="M61" s="8">
        <v>11</v>
      </c>
      <c r="N61" s="8">
        <v>0.24</v>
      </c>
      <c r="O61" s="8">
        <v>1.8</v>
      </c>
      <c r="P61" s="8">
        <v>0.01</v>
      </c>
      <c r="Q61" s="8">
        <v>0.01</v>
      </c>
      <c r="R61" s="8">
        <v>0.2</v>
      </c>
      <c r="S61" s="8">
        <v>1</v>
      </c>
    </row>
    <row r="62" spans="1:19" ht="12.75">
      <c r="A62" s="11"/>
      <c r="B62" s="38" t="s">
        <v>192</v>
      </c>
      <c r="C62" s="8"/>
      <c r="D62" s="33">
        <v>75</v>
      </c>
      <c r="E62" s="33">
        <v>75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9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12.75">
      <c r="A63" s="11"/>
      <c r="B63" s="38" t="s">
        <v>193</v>
      </c>
      <c r="C63" s="8"/>
      <c r="D63" s="33">
        <v>100</v>
      </c>
      <c r="E63" s="33">
        <v>100</v>
      </c>
      <c r="F63" s="8">
        <v>0.2</v>
      </c>
      <c r="G63" s="8">
        <v>0</v>
      </c>
      <c r="H63" s="8">
        <v>1.1</v>
      </c>
      <c r="I63" s="8">
        <v>5.7</v>
      </c>
      <c r="J63" s="8">
        <v>28</v>
      </c>
      <c r="K63" s="9">
        <v>5</v>
      </c>
      <c r="L63" s="8">
        <v>2.2</v>
      </c>
      <c r="M63" s="8">
        <v>9.3</v>
      </c>
      <c r="N63" s="8">
        <v>0.13</v>
      </c>
      <c r="O63" s="8">
        <v>0</v>
      </c>
      <c r="P63" s="8">
        <v>0</v>
      </c>
      <c r="Q63" s="8">
        <v>0</v>
      </c>
      <c r="R63" s="8">
        <v>0.03</v>
      </c>
      <c r="S63" s="8">
        <v>1.6</v>
      </c>
    </row>
    <row r="64" spans="1:19" ht="12.75">
      <c r="A64" s="11"/>
      <c r="B64" s="38" t="s">
        <v>85</v>
      </c>
      <c r="C64" s="8"/>
      <c r="D64" s="33">
        <v>31</v>
      </c>
      <c r="E64" s="33">
        <v>31</v>
      </c>
      <c r="F64" s="8">
        <v>4.9</v>
      </c>
      <c r="G64" s="8">
        <v>0.7</v>
      </c>
      <c r="H64" s="8">
        <v>50</v>
      </c>
      <c r="I64" s="8">
        <v>231</v>
      </c>
      <c r="J64" s="8">
        <v>37.8</v>
      </c>
      <c r="K64" s="9">
        <v>16.8</v>
      </c>
      <c r="L64" s="8">
        <v>16.5</v>
      </c>
      <c r="M64" s="8">
        <v>68</v>
      </c>
      <c r="N64" s="8">
        <v>1.26</v>
      </c>
      <c r="O64" s="8">
        <v>0</v>
      </c>
      <c r="P64" s="8">
        <v>0.06</v>
      </c>
      <c r="Q64" s="8">
        <v>0.02</v>
      </c>
      <c r="R64" s="8">
        <v>1.12</v>
      </c>
      <c r="S64" s="8">
        <v>0</v>
      </c>
    </row>
    <row r="65" spans="1:19" ht="12.75">
      <c r="A65" s="11"/>
      <c r="B65" s="8" t="s">
        <v>46</v>
      </c>
      <c r="C65" s="8"/>
      <c r="D65" s="33">
        <v>2</v>
      </c>
      <c r="E65" s="33">
        <v>2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12.75">
      <c r="A66" s="82" t="s">
        <v>182</v>
      </c>
      <c r="B66" s="3" t="s">
        <v>183</v>
      </c>
      <c r="C66" s="83"/>
      <c r="D66" s="3">
        <v>40</v>
      </c>
      <c r="E66" s="3"/>
      <c r="F66" s="3">
        <v>9.56</v>
      </c>
      <c r="G66" s="3">
        <v>1.03</v>
      </c>
      <c r="H66" s="3">
        <v>81.04</v>
      </c>
      <c r="I66" s="3">
        <v>80.9</v>
      </c>
      <c r="J66" s="3">
        <v>40.3</v>
      </c>
      <c r="K66" s="3">
        <v>8.1</v>
      </c>
      <c r="L66" s="3">
        <v>12.4</v>
      </c>
      <c r="M66" s="3">
        <v>24.9</v>
      </c>
      <c r="N66" s="3">
        <v>0.48</v>
      </c>
      <c r="O66" s="3">
        <v>0</v>
      </c>
      <c r="P66" s="3">
        <v>0</v>
      </c>
      <c r="Q66" s="3">
        <v>0</v>
      </c>
      <c r="R66" s="3">
        <v>0.462</v>
      </c>
      <c r="S66" s="3">
        <v>0</v>
      </c>
    </row>
    <row r="67" spans="1:19" ht="12.75">
      <c r="A67" s="11"/>
      <c r="B67" s="24" t="s">
        <v>35</v>
      </c>
      <c r="C67" s="24"/>
      <c r="D67" s="23">
        <v>10</v>
      </c>
      <c r="E67" s="23">
        <v>10</v>
      </c>
      <c r="F67" s="8">
        <f>72.5*D67/100</f>
        <v>7.25</v>
      </c>
      <c r="G67" s="8">
        <f>1.3*D67/100</f>
        <v>0.13</v>
      </c>
      <c r="H67" s="8">
        <f>661*D67/100</f>
        <v>66.1</v>
      </c>
      <c r="I67" s="8">
        <f>23*D67/100</f>
        <v>2.3</v>
      </c>
      <c r="J67" s="9">
        <f>22*D67/100</f>
        <v>2.2</v>
      </c>
      <c r="K67" s="8">
        <f>3*D67/100</f>
        <v>0.3</v>
      </c>
      <c r="L67" s="9">
        <f>19*D67/100</f>
        <v>1.9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38">
        <v>0</v>
      </c>
    </row>
    <row r="68" spans="1:19" ht="12.75">
      <c r="A68" s="11"/>
      <c r="B68" s="23" t="s">
        <v>184</v>
      </c>
      <c r="C68" s="23"/>
      <c r="D68" s="23">
        <v>30</v>
      </c>
      <c r="E68" s="8">
        <v>30</v>
      </c>
      <c r="F68" s="38">
        <f>7.7*E68/100</f>
        <v>2.31</v>
      </c>
      <c r="G68" s="38">
        <f>3*E68/100</f>
        <v>0.9</v>
      </c>
      <c r="H68" s="38">
        <f>49.8*E68/100</f>
        <v>14.94</v>
      </c>
      <c r="I68" s="38">
        <f>262*E68/100</f>
        <v>78.6</v>
      </c>
      <c r="J68" s="38">
        <f>127*E68/100</f>
        <v>38.1</v>
      </c>
      <c r="K68" s="38">
        <f>26*E68/100</f>
        <v>7.8</v>
      </c>
      <c r="L68" s="38">
        <f>35*E68/100</f>
        <v>10.5</v>
      </c>
      <c r="M68" s="38">
        <f>83*E68/100</f>
        <v>24.9</v>
      </c>
      <c r="N68" s="38">
        <f>1.6*E68/100</f>
        <v>0.48</v>
      </c>
      <c r="O68" s="38">
        <v>0</v>
      </c>
      <c r="P68" s="38">
        <v>0</v>
      </c>
      <c r="Q68" s="38">
        <v>0</v>
      </c>
      <c r="R68" s="38">
        <f>1.54*E68/100</f>
        <v>0.462</v>
      </c>
      <c r="S68" s="38">
        <v>0</v>
      </c>
    </row>
    <row r="69" spans="1:19" ht="12.75">
      <c r="A69" s="11" t="s">
        <v>74</v>
      </c>
      <c r="B69" s="5" t="s">
        <v>75</v>
      </c>
      <c r="C69" s="39">
        <v>200</v>
      </c>
      <c r="D69" s="23"/>
      <c r="E69" s="2"/>
      <c r="F69" s="3">
        <f aca="true" t="shared" si="7" ref="F69:S69">SUM(F70:F72)</f>
        <v>0.1</v>
      </c>
      <c r="G69" s="3">
        <f t="shared" si="7"/>
        <v>0</v>
      </c>
      <c r="H69" s="3">
        <f t="shared" si="7"/>
        <v>15</v>
      </c>
      <c r="I69" s="3">
        <f t="shared" si="7"/>
        <v>57.699999999999996</v>
      </c>
      <c r="J69" s="3">
        <f t="shared" si="7"/>
        <v>12.9</v>
      </c>
      <c r="K69" s="3">
        <f t="shared" si="7"/>
        <v>2.9</v>
      </c>
      <c r="L69" s="3">
        <f t="shared" si="7"/>
        <v>2.2</v>
      </c>
      <c r="M69" s="3">
        <f t="shared" si="7"/>
        <v>4.12</v>
      </c>
      <c r="N69" s="3">
        <f t="shared" si="7"/>
        <v>0.4</v>
      </c>
      <c r="O69" s="3">
        <f t="shared" si="7"/>
        <v>0</v>
      </c>
      <c r="P69" s="3">
        <f t="shared" si="7"/>
        <v>0</v>
      </c>
      <c r="Q69" s="3">
        <f t="shared" si="7"/>
        <v>0</v>
      </c>
      <c r="R69" s="32">
        <f t="shared" si="7"/>
        <v>0</v>
      </c>
      <c r="S69" s="3">
        <f t="shared" si="7"/>
        <v>0</v>
      </c>
    </row>
    <row r="70" spans="1:19" ht="12.75">
      <c r="A70" s="11"/>
      <c r="B70" s="13" t="s">
        <v>38</v>
      </c>
      <c r="C70" s="23"/>
      <c r="D70" s="33">
        <v>50</v>
      </c>
      <c r="E70" s="33">
        <v>50</v>
      </c>
      <c r="F70" s="8">
        <v>0.1</v>
      </c>
      <c r="G70" s="8">
        <v>0</v>
      </c>
      <c r="H70" s="8">
        <v>0</v>
      </c>
      <c r="I70" s="8">
        <v>0.8</v>
      </c>
      <c r="J70" s="9">
        <v>12.4</v>
      </c>
      <c r="K70" s="8">
        <v>2.5</v>
      </c>
      <c r="L70" s="8">
        <v>2.2</v>
      </c>
      <c r="M70" s="9">
        <v>4.12</v>
      </c>
      <c r="N70" s="8">
        <v>0.4</v>
      </c>
      <c r="O70" s="8">
        <v>0</v>
      </c>
      <c r="P70" s="8">
        <v>0</v>
      </c>
      <c r="Q70" s="8">
        <v>0</v>
      </c>
      <c r="R70" s="34">
        <v>0</v>
      </c>
      <c r="S70" s="8">
        <v>0</v>
      </c>
    </row>
    <row r="71" spans="1:19" ht="12.75">
      <c r="A71" s="11"/>
      <c r="B71" s="13" t="s">
        <v>28</v>
      </c>
      <c r="C71" s="23"/>
      <c r="D71" s="33">
        <v>15</v>
      </c>
      <c r="E71" s="33">
        <v>15</v>
      </c>
      <c r="F71" s="8">
        <v>0</v>
      </c>
      <c r="G71" s="8">
        <v>0</v>
      </c>
      <c r="H71" s="8">
        <v>15</v>
      </c>
      <c r="I71" s="8">
        <v>56.9</v>
      </c>
      <c r="J71" s="9">
        <v>0.5</v>
      </c>
      <c r="K71" s="8">
        <v>0.4</v>
      </c>
      <c r="L71" s="8">
        <v>0</v>
      </c>
      <c r="M71" s="9">
        <v>0</v>
      </c>
      <c r="N71" s="8">
        <v>0</v>
      </c>
      <c r="O71" s="8">
        <v>0</v>
      </c>
      <c r="P71" s="8">
        <v>0</v>
      </c>
      <c r="Q71" s="8">
        <v>0</v>
      </c>
      <c r="R71" s="34">
        <v>0</v>
      </c>
      <c r="S71" s="8">
        <v>0</v>
      </c>
    </row>
    <row r="72" spans="1:19" ht="12.75">
      <c r="A72" s="11"/>
      <c r="B72" s="13" t="s">
        <v>33</v>
      </c>
      <c r="C72" s="23"/>
      <c r="D72" s="33">
        <v>150</v>
      </c>
      <c r="E72" s="33">
        <v>150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34">
        <v>0</v>
      </c>
      <c r="S72" s="8">
        <v>0</v>
      </c>
    </row>
    <row r="73" spans="1:19" ht="12.75">
      <c r="A73" s="11"/>
      <c r="B73" s="2" t="s">
        <v>1</v>
      </c>
      <c r="C73" s="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25.5">
      <c r="A74" s="11">
        <v>88</v>
      </c>
      <c r="B74" s="5" t="s">
        <v>157</v>
      </c>
      <c r="C74" s="5" t="s">
        <v>159</v>
      </c>
      <c r="D74" s="15"/>
      <c r="E74" s="3"/>
      <c r="F74" s="3">
        <v>1.83</v>
      </c>
      <c r="G74" s="3">
        <v>5.15</v>
      </c>
      <c r="H74" s="7">
        <v>13.43</v>
      </c>
      <c r="I74" s="45">
        <v>103.97</v>
      </c>
      <c r="J74" s="7">
        <v>362.8</v>
      </c>
      <c r="K74" s="3">
        <v>33.59</v>
      </c>
      <c r="L74" s="3">
        <v>24.55</v>
      </c>
      <c r="M74" s="3">
        <v>50.1</v>
      </c>
      <c r="N74" s="3">
        <v>1.02</v>
      </c>
      <c r="O74" s="3">
        <v>0</v>
      </c>
      <c r="P74" s="3">
        <v>0</v>
      </c>
      <c r="Q74" s="3">
        <v>0</v>
      </c>
      <c r="R74" s="3">
        <v>0.39</v>
      </c>
      <c r="S74" s="3">
        <v>20.85</v>
      </c>
    </row>
    <row r="75" spans="1:19" ht="12.75">
      <c r="A75" s="11"/>
      <c r="B75" s="37" t="s">
        <v>50</v>
      </c>
      <c r="C75" s="18"/>
      <c r="D75" s="15">
        <v>5</v>
      </c>
      <c r="E75" s="15">
        <v>5</v>
      </c>
      <c r="F75" s="15">
        <v>0.1425</v>
      </c>
      <c r="G75" s="15">
        <v>0.855</v>
      </c>
      <c r="H75" s="17">
        <v>0.194</v>
      </c>
      <c r="I75" s="17">
        <v>11.742</v>
      </c>
      <c r="J75" s="15">
        <v>6.213</v>
      </c>
      <c r="K75" s="15">
        <v>4.902</v>
      </c>
      <c r="L75" s="15">
        <v>0.456</v>
      </c>
      <c r="M75" s="15">
        <v>3.42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</row>
    <row r="76" spans="1:19" ht="12.75">
      <c r="A76" s="11"/>
      <c r="B76" s="18" t="s">
        <v>40</v>
      </c>
      <c r="C76" s="18"/>
      <c r="D76" s="15">
        <v>62.5</v>
      </c>
      <c r="E76" s="15">
        <v>50</v>
      </c>
      <c r="F76" s="15">
        <v>0.36</v>
      </c>
      <c r="G76" s="15">
        <v>0.02</v>
      </c>
      <c r="H76" s="17">
        <v>0.94</v>
      </c>
      <c r="I76" s="17">
        <v>5.4</v>
      </c>
      <c r="J76" s="15">
        <v>60</v>
      </c>
      <c r="K76" s="15">
        <v>9.6</v>
      </c>
      <c r="L76" s="15">
        <v>3.2</v>
      </c>
      <c r="M76" s="15">
        <v>6.2</v>
      </c>
      <c r="N76" s="15">
        <v>0.12</v>
      </c>
      <c r="O76" s="15">
        <v>0</v>
      </c>
      <c r="P76" s="15">
        <v>0</v>
      </c>
      <c r="Q76" s="15">
        <v>0</v>
      </c>
      <c r="R76" s="15">
        <v>0</v>
      </c>
      <c r="S76" s="15">
        <v>9</v>
      </c>
    </row>
    <row r="77" spans="1:19" ht="12.75">
      <c r="A77" s="11"/>
      <c r="B77" s="18" t="s">
        <v>29</v>
      </c>
      <c r="C77" s="18"/>
      <c r="D77" s="15">
        <v>40</v>
      </c>
      <c r="E77" s="15">
        <v>30</v>
      </c>
      <c r="F77" s="15">
        <v>0.4</v>
      </c>
      <c r="G77" s="15">
        <v>0.08</v>
      </c>
      <c r="H77" s="17">
        <v>3.46</v>
      </c>
      <c r="I77" s="17">
        <v>16</v>
      </c>
      <c r="J77" s="15">
        <v>113.6</v>
      </c>
      <c r="K77" s="15">
        <v>2</v>
      </c>
      <c r="L77" s="15">
        <v>4.6</v>
      </c>
      <c r="M77" s="15">
        <v>11.6</v>
      </c>
      <c r="N77" s="15">
        <v>0.18</v>
      </c>
      <c r="O77" s="15">
        <v>0</v>
      </c>
      <c r="P77" s="15">
        <v>0</v>
      </c>
      <c r="Q77" s="15">
        <v>0</v>
      </c>
      <c r="R77" s="15">
        <v>0.26</v>
      </c>
      <c r="S77" s="15">
        <v>4</v>
      </c>
    </row>
    <row r="78" spans="1:19" ht="12.75">
      <c r="A78" s="11"/>
      <c r="B78" s="18" t="s">
        <v>30</v>
      </c>
      <c r="C78" s="18"/>
      <c r="D78" s="15">
        <v>15.8</v>
      </c>
      <c r="E78" s="15">
        <v>12.5</v>
      </c>
      <c r="F78" s="15">
        <v>0.16</v>
      </c>
      <c r="G78" s="15">
        <v>0.01</v>
      </c>
      <c r="H78" s="17">
        <v>1.05</v>
      </c>
      <c r="I78" s="17">
        <v>4.25</v>
      </c>
      <c r="J78" s="16">
        <v>25</v>
      </c>
      <c r="K78" s="15">
        <v>3.37</v>
      </c>
      <c r="L78" s="15">
        <v>4.75</v>
      </c>
      <c r="M78" s="17">
        <v>6.9</v>
      </c>
      <c r="N78" s="15">
        <v>0.08</v>
      </c>
      <c r="O78" s="15">
        <v>0</v>
      </c>
      <c r="P78" s="15">
        <v>0</v>
      </c>
      <c r="Q78" s="15">
        <v>0</v>
      </c>
      <c r="R78" s="15">
        <v>0.13</v>
      </c>
      <c r="S78" s="15">
        <v>1.25</v>
      </c>
    </row>
    <row r="79" spans="1:19" ht="12.75">
      <c r="A79" s="11"/>
      <c r="B79" s="18" t="s">
        <v>31</v>
      </c>
      <c r="C79" s="18"/>
      <c r="D79" s="15">
        <v>12</v>
      </c>
      <c r="E79" s="15">
        <v>10</v>
      </c>
      <c r="F79" s="15">
        <v>0.14</v>
      </c>
      <c r="G79" s="15">
        <v>0</v>
      </c>
      <c r="H79" s="17">
        <v>0.91</v>
      </c>
      <c r="I79" s="17">
        <v>4.1</v>
      </c>
      <c r="J79" s="23">
        <v>17.5</v>
      </c>
      <c r="K79" s="23">
        <v>3.1</v>
      </c>
      <c r="L79" s="23">
        <v>1.4</v>
      </c>
      <c r="M79" s="23">
        <v>5.8</v>
      </c>
      <c r="N79" s="23">
        <v>0.08</v>
      </c>
      <c r="O79" s="23">
        <v>0</v>
      </c>
      <c r="P79" s="23">
        <v>0</v>
      </c>
      <c r="Q79" s="23">
        <v>0</v>
      </c>
      <c r="R79" s="23">
        <v>0</v>
      </c>
      <c r="S79" s="23">
        <v>1</v>
      </c>
    </row>
    <row r="80" spans="1:19" ht="12.75">
      <c r="A80" s="11"/>
      <c r="B80" s="18" t="s">
        <v>34</v>
      </c>
      <c r="C80" s="18"/>
      <c r="D80" s="15">
        <v>1</v>
      </c>
      <c r="E80" s="15">
        <v>1</v>
      </c>
      <c r="F80" s="15">
        <v>0.17</v>
      </c>
      <c r="G80" s="15">
        <v>0</v>
      </c>
      <c r="H80" s="17">
        <v>0.8</v>
      </c>
      <c r="I80" s="17">
        <v>3.7</v>
      </c>
      <c r="J80" s="15">
        <v>31.5</v>
      </c>
      <c r="K80" s="15">
        <v>0.72</v>
      </c>
      <c r="L80" s="15">
        <v>1.8</v>
      </c>
      <c r="M80" s="15">
        <v>2.4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1.6</v>
      </c>
    </row>
    <row r="81" spans="1:19" ht="12.75">
      <c r="A81" s="11"/>
      <c r="B81" s="24" t="s">
        <v>76</v>
      </c>
      <c r="C81" s="24"/>
      <c r="D81" s="15">
        <v>5</v>
      </c>
      <c r="E81" s="15">
        <v>5</v>
      </c>
      <c r="F81" s="15">
        <f>72.5*D81/100</f>
        <v>3.625</v>
      </c>
      <c r="G81" s="15">
        <f>1.3*D81/100</f>
        <v>0.065</v>
      </c>
      <c r="H81" s="15">
        <f>661*D81/100</f>
        <v>33.05</v>
      </c>
      <c r="I81" s="15">
        <f>23*D81/100</f>
        <v>1.15</v>
      </c>
      <c r="J81" s="17">
        <f>22*D81/100</f>
        <v>1.1</v>
      </c>
      <c r="K81" s="15">
        <f>3*D81/100</f>
        <v>0.15</v>
      </c>
      <c r="L81" s="17">
        <f>19*D81/100</f>
        <v>0.95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38">
        <v>0</v>
      </c>
    </row>
    <row r="82" spans="1:19" ht="12.75">
      <c r="A82" s="11"/>
      <c r="B82" s="18" t="s">
        <v>46</v>
      </c>
      <c r="C82" s="18"/>
      <c r="D82" s="15">
        <v>1.5</v>
      </c>
      <c r="E82" s="15">
        <v>1.5</v>
      </c>
      <c r="F82" s="15">
        <v>0</v>
      </c>
      <c r="G82" s="15">
        <v>0</v>
      </c>
      <c r="H82" s="17">
        <v>0</v>
      </c>
      <c r="I82" s="17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</row>
    <row r="83" spans="1:19" ht="12.75">
      <c r="A83" s="11"/>
      <c r="B83" s="18" t="s">
        <v>41</v>
      </c>
      <c r="C83" s="18"/>
      <c r="D83" s="15">
        <v>200</v>
      </c>
      <c r="E83" s="15">
        <v>200</v>
      </c>
      <c r="F83" s="15">
        <v>0</v>
      </c>
      <c r="G83" s="15">
        <v>0</v>
      </c>
      <c r="H83" s="16">
        <v>0</v>
      </c>
      <c r="I83" s="16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</row>
    <row r="84" spans="1:19" ht="12.75">
      <c r="A84" s="11">
        <v>295</v>
      </c>
      <c r="B84" s="20" t="s">
        <v>158</v>
      </c>
      <c r="C84" s="5">
        <v>60</v>
      </c>
      <c r="D84" s="21"/>
      <c r="E84" s="22"/>
      <c r="F84" s="22">
        <f>F85+F86+F87+F88+F90</f>
        <v>15.4632</v>
      </c>
      <c r="G84" s="22">
        <f aca="true" t="shared" si="8" ref="G84:S84">G85+G86+G87+G88+G90</f>
        <v>1.3439999999999999</v>
      </c>
      <c r="H84" s="22">
        <f t="shared" si="8"/>
        <v>47.596799999999995</v>
      </c>
      <c r="I84" s="22">
        <f t="shared" si="8"/>
        <v>89.71199999999999</v>
      </c>
      <c r="J84" s="22">
        <f t="shared" si="8"/>
        <v>143.772</v>
      </c>
      <c r="K84" s="22">
        <f t="shared" si="8"/>
        <v>7.596</v>
      </c>
      <c r="L84" s="22">
        <f t="shared" si="8"/>
        <v>42.72</v>
      </c>
      <c r="M84" s="22">
        <f t="shared" si="8"/>
        <v>84.768</v>
      </c>
      <c r="N84" s="22">
        <f t="shared" si="8"/>
        <v>0.8375999999999999</v>
      </c>
      <c r="O84" s="22">
        <f t="shared" si="8"/>
        <v>29.4</v>
      </c>
      <c r="P84" s="22">
        <f t="shared" si="8"/>
        <v>0.029400000000000003</v>
      </c>
      <c r="Q84" s="22">
        <f t="shared" si="8"/>
        <v>0.029400000000000003</v>
      </c>
      <c r="R84" s="22">
        <f t="shared" si="8"/>
        <v>4.73424</v>
      </c>
      <c r="S84" s="22">
        <f t="shared" si="8"/>
        <v>0.7560000000000001</v>
      </c>
    </row>
    <row r="85" spans="1:19" ht="12.75">
      <c r="A85" s="11"/>
      <c r="B85" s="41" t="s">
        <v>137</v>
      </c>
      <c r="C85" s="41"/>
      <c r="D85" s="21">
        <v>42</v>
      </c>
      <c r="E85" s="21">
        <v>42</v>
      </c>
      <c r="F85" s="21">
        <f>23.6*E85/100</f>
        <v>9.912</v>
      </c>
      <c r="G85" s="21">
        <f>1.9*E85/100</f>
        <v>0.7979999999999999</v>
      </c>
      <c r="H85" s="21">
        <f>0.4*E85/100</f>
        <v>0.168</v>
      </c>
      <c r="I85" s="21">
        <f>113*E85/100</f>
        <v>47.46</v>
      </c>
      <c r="J85" s="21">
        <f>292*E85/100</f>
        <v>122.64</v>
      </c>
      <c r="K85" s="21">
        <f>8*E85/100</f>
        <v>3.36</v>
      </c>
      <c r="L85" s="21">
        <f>86*E85/100</f>
        <v>36.12</v>
      </c>
      <c r="M85" s="21">
        <f>171*E85/100</f>
        <v>71.82</v>
      </c>
      <c r="N85" s="21">
        <f>1.4*E85/100</f>
        <v>0.588</v>
      </c>
      <c r="O85" s="21">
        <f>70*E85/100</f>
        <v>29.4</v>
      </c>
      <c r="P85" s="21">
        <f>0.07*E85/100</f>
        <v>0.029400000000000003</v>
      </c>
      <c r="Q85" s="21">
        <f>0.07*E85/100</f>
        <v>0.029400000000000003</v>
      </c>
      <c r="R85" s="21">
        <f>10.7*E85/100</f>
        <v>4.494</v>
      </c>
      <c r="S85" s="21">
        <f>1.8*E85/100</f>
        <v>0.7560000000000001</v>
      </c>
    </row>
    <row r="86" spans="1:19" ht="12.75">
      <c r="A86" s="11"/>
      <c r="B86" s="41" t="s">
        <v>68</v>
      </c>
      <c r="C86" s="41"/>
      <c r="D86" s="21">
        <v>9.6</v>
      </c>
      <c r="E86" s="21">
        <v>9.6</v>
      </c>
      <c r="F86" s="38">
        <f>7.7*E86/100</f>
        <v>0.7392</v>
      </c>
      <c r="G86" s="38">
        <f>3*E86/100</f>
        <v>0.288</v>
      </c>
      <c r="H86" s="38">
        <f>49.8*E86/100</f>
        <v>4.780799999999999</v>
      </c>
      <c r="I86" s="38">
        <f>262*E86/100</f>
        <v>25.151999999999997</v>
      </c>
      <c r="J86" s="38">
        <f>127*E86/100</f>
        <v>12.192</v>
      </c>
      <c r="K86" s="38">
        <f>26*E86/100</f>
        <v>2.496</v>
      </c>
      <c r="L86" s="38">
        <f>35*E86/100</f>
        <v>3.36</v>
      </c>
      <c r="M86" s="38">
        <f>83*E86/100</f>
        <v>7.968</v>
      </c>
      <c r="N86" s="38">
        <f>1.6*E86/100</f>
        <v>0.1536</v>
      </c>
      <c r="O86" s="38">
        <v>0</v>
      </c>
      <c r="P86" s="38">
        <v>0</v>
      </c>
      <c r="Q86" s="38">
        <v>0</v>
      </c>
      <c r="R86" s="38">
        <f>1.54*E86/100</f>
        <v>0.14784</v>
      </c>
      <c r="S86" s="38">
        <v>0</v>
      </c>
    </row>
    <row r="87" spans="1:19" ht="12.75">
      <c r="A87" s="11"/>
      <c r="B87" s="41" t="s">
        <v>33</v>
      </c>
      <c r="C87" s="41"/>
      <c r="D87" s="21">
        <v>14.4</v>
      </c>
      <c r="E87" s="21">
        <v>14.4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</row>
    <row r="88" spans="1:19" ht="12.75">
      <c r="A88" s="19"/>
      <c r="B88" s="48" t="s">
        <v>81</v>
      </c>
      <c r="C88" s="48"/>
      <c r="D88" s="49">
        <v>6</v>
      </c>
      <c r="E88" s="28">
        <v>6</v>
      </c>
      <c r="F88" s="38">
        <f>7.7*E88/100</f>
        <v>0.462</v>
      </c>
      <c r="G88" s="38">
        <f>3*E88/100</f>
        <v>0.18</v>
      </c>
      <c r="H88" s="38">
        <f>49.8*E88/100</f>
        <v>2.9879999999999995</v>
      </c>
      <c r="I88" s="38">
        <f>262*E88/100</f>
        <v>15.72</v>
      </c>
      <c r="J88" s="38">
        <f>127*E88/100</f>
        <v>7.62</v>
      </c>
      <c r="K88" s="38">
        <f>26*E88/100</f>
        <v>1.56</v>
      </c>
      <c r="L88" s="38">
        <f>35*E88/100</f>
        <v>2.1</v>
      </c>
      <c r="M88" s="38">
        <f>83*E88/100</f>
        <v>4.98</v>
      </c>
      <c r="N88" s="38">
        <f>1.6*E88/100</f>
        <v>0.09600000000000002</v>
      </c>
      <c r="O88" s="38">
        <v>0</v>
      </c>
      <c r="P88" s="38">
        <v>0</v>
      </c>
      <c r="Q88" s="38">
        <v>0</v>
      </c>
      <c r="R88" s="38">
        <f>1.54*E88/100</f>
        <v>0.0924</v>
      </c>
      <c r="S88" s="38">
        <v>0</v>
      </c>
    </row>
    <row r="89" spans="1:19" ht="12.75">
      <c r="A89" s="11"/>
      <c r="B89" s="18" t="s">
        <v>46</v>
      </c>
      <c r="C89" s="18"/>
      <c r="D89" s="15">
        <v>1</v>
      </c>
      <c r="E89" s="15">
        <v>1</v>
      </c>
      <c r="F89" s="15">
        <v>0</v>
      </c>
      <c r="G89" s="15">
        <v>0</v>
      </c>
      <c r="H89" s="17">
        <v>0</v>
      </c>
      <c r="I89" s="17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</row>
    <row r="90" spans="1:19" ht="12.75">
      <c r="A90" s="19"/>
      <c r="B90" s="24" t="s">
        <v>76</v>
      </c>
      <c r="C90" s="24"/>
      <c r="D90" s="15">
        <v>6</v>
      </c>
      <c r="E90" s="15">
        <v>6</v>
      </c>
      <c r="F90" s="15">
        <f>72.5*D90/100</f>
        <v>4.35</v>
      </c>
      <c r="G90" s="15">
        <f>1.3*D90/100</f>
        <v>0.07800000000000001</v>
      </c>
      <c r="H90" s="15">
        <f>661*D90/100</f>
        <v>39.66</v>
      </c>
      <c r="I90" s="15">
        <f>23*D90/100</f>
        <v>1.38</v>
      </c>
      <c r="J90" s="17">
        <f>22*D90/100</f>
        <v>1.32</v>
      </c>
      <c r="K90" s="15">
        <f>3*D90/100</f>
        <v>0.18</v>
      </c>
      <c r="L90" s="17">
        <f>19*D90/100</f>
        <v>1.14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38">
        <v>0</v>
      </c>
    </row>
    <row r="91" spans="1:19" ht="12.75">
      <c r="A91" s="11">
        <v>171</v>
      </c>
      <c r="B91" s="3" t="s">
        <v>161</v>
      </c>
      <c r="C91" s="3">
        <v>150</v>
      </c>
      <c r="D91" s="15"/>
      <c r="E91" s="15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12.75">
      <c r="A92" s="11"/>
      <c r="B92" s="37" t="s">
        <v>151</v>
      </c>
      <c r="C92" s="18"/>
      <c r="D92" s="21">
        <v>68</v>
      </c>
      <c r="E92" s="21">
        <v>68</v>
      </c>
      <c r="F92" s="21">
        <f>12.6*E92/100</f>
        <v>8.568</v>
      </c>
      <c r="G92" s="21">
        <f>3.3*E92/100</f>
        <v>2.2439999999999998</v>
      </c>
      <c r="H92" s="21">
        <f>62.1*E92/100</f>
        <v>42.228</v>
      </c>
      <c r="I92" s="21">
        <f>335*E92/100</f>
        <v>227.8</v>
      </c>
      <c r="J92" s="21">
        <f>167*E92/100</f>
        <v>113.56</v>
      </c>
      <c r="K92" s="21">
        <f>70*E92/100</f>
        <v>47.6</v>
      </c>
      <c r="L92" s="21">
        <f>98*E92/100</f>
        <v>66.64</v>
      </c>
      <c r="M92" s="21">
        <f>298*E92/100</f>
        <v>202.64</v>
      </c>
      <c r="N92" s="21">
        <f>8*E92/100</f>
        <v>5.44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</row>
    <row r="93" spans="1:19" ht="12.75">
      <c r="A93" s="11"/>
      <c r="B93" s="24" t="s">
        <v>46</v>
      </c>
      <c r="C93" s="18"/>
      <c r="D93" s="15">
        <v>1.5</v>
      </c>
      <c r="E93" s="38">
        <v>1.5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</row>
    <row r="94" spans="1:19" ht="12.75">
      <c r="A94" s="11"/>
      <c r="B94" s="24" t="s">
        <v>35</v>
      </c>
      <c r="C94" s="18"/>
      <c r="D94" s="15">
        <v>6</v>
      </c>
      <c r="E94" s="38">
        <v>6</v>
      </c>
      <c r="F94" s="15">
        <v>0</v>
      </c>
      <c r="G94" s="15">
        <f>72.5*E94/100</f>
        <v>4.35</v>
      </c>
      <c r="H94" s="15">
        <v>0</v>
      </c>
      <c r="I94" s="15">
        <f>661*E94/100</f>
        <v>39.66</v>
      </c>
      <c r="J94" s="15">
        <f>23*E94/100</f>
        <v>1.38</v>
      </c>
      <c r="K94" s="15">
        <f>22*E94/100</f>
        <v>1.32</v>
      </c>
      <c r="L94" s="15">
        <f>3*E94/100</f>
        <v>0.18</v>
      </c>
      <c r="M94" s="15">
        <f>19*E94/100</f>
        <v>1.14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</row>
    <row r="95" spans="1:19" ht="12.75">
      <c r="A95" s="11" t="s">
        <v>74</v>
      </c>
      <c r="B95" s="5" t="s">
        <v>75</v>
      </c>
      <c r="C95" s="39">
        <v>200</v>
      </c>
      <c r="D95" s="23"/>
      <c r="E95" s="2"/>
      <c r="F95" s="3">
        <f aca="true" t="shared" si="9" ref="F95:S95">SUM(F96:F98)</f>
        <v>0.1</v>
      </c>
      <c r="G95" s="3">
        <f t="shared" si="9"/>
        <v>0</v>
      </c>
      <c r="H95" s="3">
        <f t="shared" si="9"/>
        <v>15</v>
      </c>
      <c r="I95" s="3">
        <f t="shared" si="9"/>
        <v>57.699999999999996</v>
      </c>
      <c r="J95" s="3">
        <f t="shared" si="9"/>
        <v>12.9</v>
      </c>
      <c r="K95" s="3">
        <f t="shared" si="9"/>
        <v>2.9</v>
      </c>
      <c r="L95" s="3">
        <f t="shared" si="9"/>
        <v>2.2</v>
      </c>
      <c r="M95" s="3">
        <f t="shared" si="9"/>
        <v>4.12</v>
      </c>
      <c r="N95" s="3">
        <f t="shared" si="9"/>
        <v>0.4</v>
      </c>
      <c r="O95" s="3">
        <f t="shared" si="9"/>
        <v>0</v>
      </c>
      <c r="P95" s="3">
        <f t="shared" si="9"/>
        <v>0</v>
      </c>
      <c r="Q95" s="3">
        <f t="shared" si="9"/>
        <v>0</v>
      </c>
      <c r="R95" s="32">
        <f t="shared" si="9"/>
        <v>0</v>
      </c>
      <c r="S95" s="3">
        <f t="shared" si="9"/>
        <v>0</v>
      </c>
    </row>
    <row r="96" spans="1:19" ht="12.75">
      <c r="A96" s="11"/>
      <c r="B96" s="13" t="s">
        <v>38</v>
      </c>
      <c r="C96" s="23"/>
      <c r="D96" s="33">
        <v>50</v>
      </c>
      <c r="E96" s="33">
        <v>50</v>
      </c>
      <c r="F96" s="8">
        <v>0.1</v>
      </c>
      <c r="G96" s="8">
        <v>0</v>
      </c>
      <c r="H96" s="8">
        <v>0</v>
      </c>
      <c r="I96" s="8">
        <v>0.8</v>
      </c>
      <c r="J96" s="9">
        <v>12.4</v>
      </c>
      <c r="K96" s="8">
        <v>2.5</v>
      </c>
      <c r="L96" s="8">
        <v>2.2</v>
      </c>
      <c r="M96" s="9">
        <v>4.12</v>
      </c>
      <c r="N96" s="8">
        <v>0.4</v>
      </c>
      <c r="O96" s="8">
        <v>0</v>
      </c>
      <c r="P96" s="8">
        <v>0</v>
      </c>
      <c r="Q96" s="8">
        <v>0</v>
      </c>
      <c r="R96" s="34">
        <v>0</v>
      </c>
      <c r="S96" s="8">
        <v>0</v>
      </c>
    </row>
    <row r="97" spans="1:19" ht="12.75">
      <c r="A97" s="11"/>
      <c r="B97" s="13" t="s">
        <v>28</v>
      </c>
      <c r="C97" s="23"/>
      <c r="D97" s="33">
        <v>15</v>
      </c>
      <c r="E97" s="33">
        <v>15</v>
      </c>
      <c r="F97" s="8">
        <v>0</v>
      </c>
      <c r="G97" s="8">
        <v>0</v>
      </c>
      <c r="H97" s="8">
        <v>15</v>
      </c>
      <c r="I97" s="8">
        <v>56.9</v>
      </c>
      <c r="J97" s="9">
        <v>0.5</v>
      </c>
      <c r="K97" s="8">
        <v>0.4</v>
      </c>
      <c r="L97" s="8">
        <v>0</v>
      </c>
      <c r="M97" s="9">
        <v>0</v>
      </c>
      <c r="N97" s="8">
        <v>0</v>
      </c>
      <c r="O97" s="8">
        <v>0</v>
      </c>
      <c r="P97" s="8">
        <v>0</v>
      </c>
      <c r="Q97" s="8">
        <v>0</v>
      </c>
      <c r="R97" s="34">
        <v>0</v>
      </c>
      <c r="S97" s="8">
        <v>0</v>
      </c>
    </row>
    <row r="98" spans="1:19" ht="12.75">
      <c r="A98" s="11"/>
      <c r="B98" s="13" t="s">
        <v>33</v>
      </c>
      <c r="C98" s="23"/>
      <c r="D98" s="33">
        <v>150</v>
      </c>
      <c r="E98" s="33">
        <v>150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34">
        <v>0</v>
      </c>
      <c r="S98" s="8">
        <v>0</v>
      </c>
    </row>
    <row r="99" spans="1:19" ht="12.75">
      <c r="A99" s="11" t="s">
        <v>23</v>
      </c>
      <c r="B99" s="5" t="s">
        <v>89</v>
      </c>
      <c r="C99" s="5">
        <v>20</v>
      </c>
      <c r="D99" s="8">
        <v>20</v>
      </c>
      <c r="E99" s="38">
        <v>30</v>
      </c>
      <c r="F99" s="3">
        <f>7.7*E99/100</f>
        <v>2.31</v>
      </c>
      <c r="G99" s="3">
        <v>5.4</v>
      </c>
      <c r="H99" s="3">
        <f>49.8*E99/100</f>
        <v>14.94</v>
      </c>
      <c r="I99" s="3">
        <f>262*E99/100</f>
        <v>78.6</v>
      </c>
      <c r="J99" s="3">
        <f>127*E99/100</f>
        <v>38.1</v>
      </c>
      <c r="K99" s="3">
        <f>26*E99/100</f>
        <v>7.8</v>
      </c>
      <c r="L99" s="3">
        <f>35*E99/100</f>
        <v>10.5</v>
      </c>
      <c r="M99" s="3">
        <f>83*E99/100</f>
        <v>24.9</v>
      </c>
      <c r="N99" s="3">
        <f>1.6*E99/100</f>
        <v>0.48</v>
      </c>
      <c r="O99" s="3">
        <v>0</v>
      </c>
      <c r="P99" s="3">
        <v>0</v>
      </c>
      <c r="Q99" s="3">
        <v>0</v>
      </c>
      <c r="R99" s="3">
        <f>1.54*E99/100</f>
        <v>0.462</v>
      </c>
      <c r="S99" s="3">
        <v>0</v>
      </c>
    </row>
    <row r="100" spans="1:19" ht="12.75">
      <c r="A100" s="3" t="s">
        <v>138</v>
      </c>
      <c r="B100" s="5" t="s">
        <v>139</v>
      </c>
      <c r="C100" s="5">
        <v>20</v>
      </c>
      <c r="D100" s="23">
        <v>20</v>
      </c>
      <c r="E100" s="23">
        <v>20</v>
      </c>
      <c r="F100" s="3">
        <f>6.6*E100/100</f>
        <v>1.32</v>
      </c>
      <c r="G100" s="3">
        <f>1.2*E100/100</f>
        <v>0.24</v>
      </c>
      <c r="H100" s="3">
        <f>34.2*E100/100</f>
        <v>6.84</v>
      </c>
      <c r="I100" s="3">
        <f>181*E100/100</f>
        <v>36.2</v>
      </c>
      <c r="J100" s="3">
        <f>94*E100/100</f>
        <v>18.8</v>
      </c>
      <c r="K100" s="3">
        <f>34*E100/100</f>
        <v>6.8</v>
      </c>
      <c r="L100" s="3">
        <f>41*E100/100</f>
        <v>8.2</v>
      </c>
      <c r="M100" s="3">
        <f>120*E100/100</f>
        <v>24</v>
      </c>
      <c r="N100" s="3">
        <f>2.3*E100/100</f>
        <v>0.46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ht="12.75">
      <c r="A101" s="3"/>
      <c r="B101" s="2" t="s">
        <v>162</v>
      </c>
      <c r="C101" s="5"/>
      <c r="D101" s="23"/>
      <c r="E101" s="2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11">
        <v>295</v>
      </c>
      <c r="B102" s="20" t="s">
        <v>158</v>
      </c>
      <c r="C102" s="5">
        <v>60</v>
      </c>
      <c r="D102" s="21"/>
      <c r="E102" s="22"/>
      <c r="F102" s="22">
        <f>F103+F104+F105+F106+F108</f>
        <v>15.4632</v>
      </c>
      <c r="G102" s="22">
        <f aca="true" t="shared" si="10" ref="G102:S102">G103+G104+G105+G106+G108</f>
        <v>1.3439999999999999</v>
      </c>
      <c r="H102" s="22">
        <f t="shared" si="10"/>
        <v>47.596799999999995</v>
      </c>
      <c r="I102" s="22">
        <f t="shared" si="10"/>
        <v>89.71199999999999</v>
      </c>
      <c r="J102" s="22">
        <f t="shared" si="10"/>
        <v>143.772</v>
      </c>
      <c r="K102" s="22">
        <f t="shared" si="10"/>
        <v>7.596</v>
      </c>
      <c r="L102" s="22">
        <f t="shared" si="10"/>
        <v>42.72</v>
      </c>
      <c r="M102" s="22">
        <f t="shared" si="10"/>
        <v>84.768</v>
      </c>
      <c r="N102" s="22">
        <f t="shared" si="10"/>
        <v>0.8375999999999999</v>
      </c>
      <c r="O102" s="22">
        <f t="shared" si="10"/>
        <v>29.4</v>
      </c>
      <c r="P102" s="22">
        <f t="shared" si="10"/>
        <v>0.029400000000000003</v>
      </c>
      <c r="Q102" s="22">
        <f t="shared" si="10"/>
        <v>0.029400000000000003</v>
      </c>
      <c r="R102" s="22">
        <f t="shared" si="10"/>
        <v>4.73424</v>
      </c>
      <c r="S102" s="22">
        <f t="shared" si="10"/>
        <v>0.7560000000000001</v>
      </c>
    </row>
    <row r="103" spans="1:19" ht="12.75">
      <c r="A103" s="11"/>
      <c r="B103" s="41" t="s">
        <v>137</v>
      </c>
      <c r="C103" s="41"/>
      <c r="D103" s="21">
        <v>42</v>
      </c>
      <c r="E103" s="21">
        <v>42</v>
      </c>
      <c r="F103" s="21">
        <f>23.6*E103/100</f>
        <v>9.912</v>
      </c>
      <c r="G103" s="21">
        <f>1.9*E103/100</f>
        <v>0.7979999999999999</v>
      </c>
      <c r="H103" s="21">
        <f>0.4*E103/100</f>
        <v>0.168</v>
      </c>
      <c r="I103" s="21">
        <f>113*E103/100</f>
        <v>47.46</v>
      </c>
      <c r="J103" s="21">
        <f>292*E103/100</f>
        <v>122.64</v>
      </c>
      <c r="K103" s="21">
        <f>8*E103/100</f>
        <v>3.36</v>
      </c>
      <c r="L103" s="21">
        <f>86*E103/100</f>
        <v>36.12</v>
      </c>
      <c r="M103" s="21">
        <f>171*E103/100</f>
        <v>71.82</v>
      </c>
      <c r="N103" s="21">
        <f>1.4*E103/100</f>
        <v>0.588</v>
      </c>
      <c r="O103" s="21">
        <f>70*E103/100</f>
        <v>29.4</v>
      </c>
      <c r="P103" s="21">
        <f>0.07*E103/100</f>
        <v>0.029400000000000003</v>
      </c>
      <c r="Q103" s="21">
        <f>0.07*E103/100</f>
        <v>0.029400000000000003</v>
      </c>
      <c r="R103" s="21">
        <f>10.7*E103/100</f>
        <v>4.494</v>
      </c>
      <c r="S103" s="21">
        <f>1.8*E103/100</f>
        <v>0.7560000000000001</v>
      </c>
    </row>
    <row r="104" spans="1:19" ht="12.75">
      <c r="A104" s="11"/>
      <c r="B104" s="41" t="s">
        <v>68</v>
      </c>
      <c r="C104" s="41"/>
      <c r="D104" s="21">
        <v>9.6</v>
      </c>
      <c r="E104" s="21">
        <v>9.6</v>
      </c>
      <c r="F104" s="38">
        <f>7.7*E104/100</f>
        <v>0.7392</v>
      </c>
      <c r="G104" s="38">
        <f>3*E104/100</f>
        <v>0.288</v>
      </c>
      <c r="H104" s="38">
        <f>49.8*E104/100</f>
        <v>4.780799999999999</v>
      </c>
      <c r="I104" s="38">
        <f>262*E104/100</f>
        <v>25.151999999999997</v>
      </c>
      <c r="J104" s="38">
        <f>127*E104/100</f>
        <v>12.192</v>
      </c>
      <c r="K104" s="38">
        <f>26*E104/100</f>
        <v>2.496</v>
      </c>
      <c r="L104" s="38">
        <f>35*E104/100</f>
        <v>3.36</v>
      </c>
      <c r="M104" s="38">
        <f>83*E104/100</f>
        <v>7.968</v>
      </c>
      <c r="N104" s="38">
        <f>1.6*E104/100</f>
        <v>0.1536</v>
      </c>
      <c r="O104" s="38">
        <v>0</v>
      </c>
      <c r="P104" s="38">
        <v>0</v>
      </c>
      <c r="Q104" s="38">
        <v>0</v>
      </c>
      <c r="R104" s="38">
        <f>1.54*E104/100</f>
        <v>0.14784</v>
      </c>
      <c r="S104" s="38">
        <v>0</v>
      </c>
    </row>
    <row r="105" spans="1:19" ht="12.75">
      <c r="A105" s="11"/>
      <c r="B105" s="41" t="s">
        <v>33</v>
      </c>
      <c r="C105" s="41"/>
      <c r="D105" s="21">
        <v>14.4</v>
      </c>
      <c r="E105" s="21">
        <v>14.4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</row>
    <row r="106" spans="1:19" ht="12.75">
      <c r="A106" s="19"/>
      <c r="B106" s="48" t="s">
        <v>81</v>
      </c>
      <c r="C106" s="48"/>
      <c r="D106" s="49">
        <v>6</v>
      </c>
      <c r="E106" s="28">
        <v>6</v>
      </c>
      <c r="F106" s="38">
        <f>7.7*E106/100</f>
        <v>0.462</v>
      </c>
      <c r="G106" s="38">
        <f>3*E106/100</f>
        <v>0.18</v>
      </c>
      <c r="H106" s="38">
        <f>49.8*E106/100</f>
        <v>2.9879999999999995</v>
      </c>
      <c r="I106" s="38">
        <f>262*E106/100</f>
        <v>15.72</v>
      </c>
      <c r="J106" s="38">
        <f>127*E106/100</f>
        <v>7.62</v>
      </c>
      <c r="K106" s="38">
        <f>26*E106/100</f>
        <v>1.56</v>
      </c>
      <c r="L106" s="38">
        <f>35*E106/100</f>
        <v>2.1</v>
      </c>
      <c r="M106" s="38">
        <f>83*E106/100</f>
        <v>4.98</v>
      </c>
      <c r="N106" s="38">
        <f>1.6*E106/100</f>
        <v>0.09600000000000002</v>
      </c>
      <c r="O106" s="38">
        <v>0</v>
      </c>
      <c r="P106" s="38">
        <v>0</v>
      </c>
      <c r="Q106" s="38">
        <v>0</v>
      </c>
      <c r="R106" s="38">
        <f>1.54*E106/100</f>
        <v>0.0924</v>
      </c>
      <c r="S106" s="38">
        <v>0</v>
      </c>
    </row>
    <row r="107" spans="1:19" ht="12.75">
      <c r="A107" s="11"/>
      <c r="B107" s="18" t="s">
        <v>46</v>
      </c>
      <c r="C107" s="18"/>
      <c r="D107" s="15">
        <v>1</v>
      </c>
      <c r="E107" s="15">
        <v>1</v>
      </c>
      <c r="F107" s="15">
        <v>0</v>
      </c>
      <c r="G107" s="15">
        <v>0</v>
      </c>
      <c r="H107" s="17">
        <v>0</v>
      </c>
      <c r="I107" s="17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</row>
    <row r="108" spans="1:19" ht="12.75">
      <c r="A108" s="19"/>
      <c r="B108" s="24" t="s">
        <v>76</v>
      </c>
      <c r="C108" s="24"/>
      <c r="D108" s="15">
        <v>6</v>
      </c>
      <c r="E108" s="15">
        <v>6</v>
      </c>
      <c r="F108" s="15">
        <f>72.5*D108/100</f>
        <v>4.35</v>
      </c>
      <c r="G108" s="15">
        <f>1.3*D108/100</f>
        <v>0.07800000000000001</v>
      </c>
      <c r="H108" s="15">
        <f>661*D108/100</f>
        <v>39.66</v>
      </c>
      <c r="I108" s="15">
        <f>23*D108/100</f>
        <v>1.38</v>
      </c>
      <c r="J108" s="17">
        <f>22*D108/100</f>
        <v>1.32</v>
      </c>
      <c r="K108" s="15">
        <f>3*D108/100</f>
        <v>0.18</v>
      </c>
      <c r="L108" s="17">
        <f>19*D108/100</f>
        <v>1.14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38">
        <v>0</v>
      </c>
    </row>
    <row r="109" spans="1:19" ht="12.75">
      <c r="A109" s="11">
        <v>171</v>
      </c>
      <c r="B109" s="3" t="s">
        <v>161</v>
      </c>
      <c r="C109" s="3">
        <v>150</v>
      </c>
      <c r="D109" s="15"/>
      <c r="E109" s="15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12.75">
      <c r="A110" s="11"/>
      <c r="B110" s="37" t="s">
        <v>151</v>
      </c>
      <c r="C110" s="18"/>
      <c r="D110" s="21">
        <v>68</v>
      </c>
      <c r="E110" s="21">
        <v>68</v>
      </c>
      <c r="F110" s="21">
        <f>12.6*E110/100</f>
        <v>8.568</v>
      </c>
      <c r="G110" s="21">
        <f>3.3*E110/100</f>
        <v>2.2439999999999998</v>
      </c>
      <c r="H110" s="21">
        <f>62.1*E110/100</f>
        <v>42.228</v>
      </c>
      <c r="I110" s="21">
        <f>335*E110/100</f>
        <v>227.8</v>
      </c>
      <c r="J110" s="21">
        <f>167*E110/100</f>
        <v>113.56</v>
      </c>
      <c r="K110" s="21">
        <f>70*E110/100</f>
        <v>47.6</v>
      </c>
      <c r="L110" s="21">
        <f>98*E110/100</f>
        <v>66.64</v>
      </c>
      <c r="M110" s="21">
        <f>298*E110/100</f>
        <v>202.64</v>
      </c>
      <c r="N110" s="21">
        <f>8*E110/100</f>
        <v>5.44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</row>
    <row r="111" spans="1:19" ht="12.75">
      <c r="A111" s="11"/>
      <c r="B111" s="24" t="s">
        <v>46</v>
      </c>
      <c r="C111" s="18"/>
      <c r="D111" s="15">
        <v>1.5</v>
      </c>
      <c r="E111" s="38">
        <v>1.5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</row>
    <row r="112" spans="1:19" ht="12.75">
      <c r="A112" s="11"/>
      <c r="B112" s="24" t="s">
        <v>35</v>
      </c>
      <c r="C112" s="18"/>
      <c r="D112" s="15">
        <v>6</v>
      </c>
      <c r="E112" s="38">
        <v>6</v>
      </c>
      <c r="F112" s="15">
        <v>0</v>
      </c>
      <c r="G112" s="15">
        <f>72.5*E112/100</f>
        <v>4.35</v>
      </c>
      <c r="H112" s="15">
        <v>0</v>
      </c>
      <c r="I112" s="15">
        <f>661*E112/100</f>
        <v>39.66</v>
      </c>
      <c r="J112" s="15">
        <f>23*E112/100</f>
        <v>1.38</v>
      </c>
      <c r="K112" s="15">
        <f>22*E112/100</f>
        <v>1.32</v>
      </c>
      <c r="L112" s="15">
        <f>3*E112/100</f>
        <v>0.18</v>
      </c>
      <c r="M112" s="15">
        <f>19*E112/100</f>
        <v>1.14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</row>
    <row r="113" spans="1:19" ht="12.75">
      <c r="A113" s="11" t="s">
        <v>74</v>
      </c>
      <c r="B113" s="5" t="s">
        <v>75</v>
      </c>
      <c r="C113" s="39">
        <v>200</v>
      </c>
      <c r="D113" s="23"/>
      <c r="E113" s="2"/>
      <c r="F113" s="3">
        <f aca="true" t="shared" si="11" ref="F113:S113">SUM(F114:F116)</f>
        <v>0.1</v>
      </c>
      <c r="G113" s="3">
        <f t="shared" si="11"/>
        <v>0</v>
      </c>
      <c r="H113" s="3">
        <f t="shared" si="11"/>
        <v>15</v>
      </c>
      <c r="I113" s="3">
        <f t="shared" si="11"/>
        <v>57.699999999999996</v>
      </c>
      <c r="J113" s="3">
        <f t="shared" si="11"/>
        <v>12.9</v>
      </c>
      <c r="K113" s="3">
        <f t="shared" si="11"/>
        <v>2.9</v>
      </c>
      <c r="L113" s="3">
        <f t="shared" si="11"/>
        <v>2.2</v>
      </c>
      <c r="M113" s="3">
        <f t="shared" si="11"/>
        <v>4.12</v>
      </c>
      <c r="N113" s="3">
        <f t="shared" si="11"/>
        <v>0.4</v>
      </c>
      <c r="O113" s="3">
        <f t="shared" si="11"/>
        <v>0</v>
      </c>
      <c r="P113" s="3">
        <f t="shared" si="11"/>
        <v>0</v>
      </c>
      <c r="Q113" s="3">
        <f t="shared" si="11"/>
        <v>0</v>
      </c>
      <c r="R113" s="32">
        <f t="shared" si="11"/>
        <v>0</v>
      </c>
      <c r="S113" s="3">
        <f t="shared" si="11"/>
        <v>0</v>
      </c>
    </row>
    <row r="114" spans="1:19" ht="12.75">
      <c r="A114" s="11"/>
      <c r="B114" s="13" t="s">
        <v>38</v>
      </c>
      <c r="C114" s="23"/>
      <c r="D114" s="33">
        <v>50</v>
      </c>
      <c r="E114" s="33">
        <v>50</v>
      </c>
      <c r="F114" s="8">
        <v>0.1</v>
      </c>
      <c r="G114" s="8">
        <v>0</v>
      </c>
      <c r="H114" s="8">
        <v>0</v>
      </c>
      <c r="I114" s="8">
        <v>0.8</v>
      </c>
      <c r="J114" s="9">
        <v>12.4</v>
      </c>
      <c r="K114" s="8">
        <v>2.5</v>
      </c>
      <c r="L114" s="8">
        <v>2.2</v>
      </c>
      <c r="M114" s="9">
        <v>4.12</v>
      </c>
      <c r="N114" s="8">
        <v>0.4</v>
      </c>
      <c r="O114" s="8">
        <v>0</v>
      </c>
      <c r="P114" s="8">
        <v>0</v>
      </c>
      <c r="Q114" s="8">
        <v>0</v>
      </c>
      <c r="R114" s="34">
        <v>0</v>
      </c>
      <c r="S114" s="8">
        <v>0</v>
      </c>
    </row>
    <row r="115" spans="1:19" ht="12.75">
      <c r="A115" s="11"/>
      <c r="B115" s="13" t="s">
        <v>28</v>
      </c>
      <c r="C115" s="23"/>
      <c r="D115" s="33">
        <v>15</v>
      </c>
      <c r="E115" s="33">
        <v>15</v>
      </c>
      <c r="F115" s="8">
        <v>0</v>
      </c>
      <c r="G115" s="8">
        <v>0</v>
      </c>
      <c r="H115" s="8">
        <v>15</v>
      </c>
      <c r="I115" s="8">
        <v>56.9</v>
      </c>
      <c r="J115" s="9">
        <v>0.5</v>
      </c>
      <c r="K115" s="8">
        <v>0.4</v>
      </c>
      <c r="L115" s="8">
        <v>0</v>
      </c>
      <c r="M115" s="9">
        <v>0</v>
      </c>
      <c r="N115" s="8">
        <v>0</v>
      </c>
      <c r="O115" s="8">
        <v>0</v>
      </c>
      <c r="P115" s="8">
        <v>0</v>
      </c>
      <c r="Q115" s="8">
        <v>0</v>
      </c>
      <c r="R115" s="34">
        <v>0</v>
      </c>
      <c r="S115" s="8">
        <v>0</v>
      </c>
    </row>
    <row r="116" spans="1:19" ht="12.75">
      <c r="A116" s="11"/>
      <c r="B116" s="13" t="s">
        <v>33</v>
      </c>
      <c r="C116" s="23"/>
      <c r="D116" s="33">
        <v>150</v>
      </c>
      <c r="E116" s="33">
        <v>150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34">
        <v>0</v>
      </c>
      <c r="S116" s="8">
        <v>0</v>
      </c>
    </row>
    <row r="117" spans="1:19" ht="12.75">
      <c r="A117" s="11" t="s">
        <v>23</v>
      </c>
      <c r="B117" s="5" t="s">
        <v>89</v>
      </c>
      <c r="C117" s="5">
        <v>20</v>
      </c>
      <c r="D117" s="8">
        <v>20</v>
      </c>
      <c r="E117" s="38">
        <v>30</v>
      </c>
      <c r="F117" s="3">
        <f>7.7*E117/100</f>
        <v>2.31</v>
      </c>
      <c r="G117" s="3">
        <v>5.4</v>
      </c>
      <c r="H117" s="3">
        <f>49.8*E117/100</f>
        <v>14.94</v>
      </c>
      <c r="I117" s="3">
        <f>262*E117/100</f>
        <v>78.6</v>
      </c>
      <c r="J117" s="3">
        <f>127*E117/100</f>
        <v>38.1</v>
      </c>
      <c r="K117" s="3">
        <f>26*E117/100</f>
        <v>7.8</v>
      </c>
      <c r="L117" s="3">
        <f>35*E117/100</f>
        <v>10.5</v>
      </c>
      <c r="M117" s="3">
        <f>83*E117/100</f>
        <v>24.9</v>
      </c>
      <c r="N117" s="3">
        <f>1.6*E117/100</f>
        <v>0.48</v>
      </c>
      <c r="O117" s="3">
        <v>0</v>
      </c>
      <c r="P117" s="3">
        <v>0</v>
      </c>
      <c r="Q117" s="3">
        <v>0</v>
      </c>
      <c r="R117" s="3">
        <f>1.54*E117/100</f>
        <v>0.462</v>
      </c>
      <c r="S117" s="3">
        <v>0</v>
      </c>
    </row>
    <row r="118" spans="1:19" ht="12.75">
      <c r="A118" s="3" t="s">
        <v>138</v>
      </c>
      <c r="B118" s="5" t="s">
        <v>139</v>
      </c>
      <c r="C118" s="5">
        <v>20</v>
      </c>
      <c r="D118" s="23">
        <v>20</v>
      </c>
      <c r="E118" s="23">
        <v>20</v>
      </c>
      <c r="F118" s="3">
        <f>6.6*E118/100</f>
        <v>1.32</v>
      </c>
      <c r="G118" s="3">
        <f>1.2*E118/100</f>
        <v>0.24</v>
      </c>
      <c r="H118" s="3">
        <f>34.2*E118/100</f>
        <v>6.84</v>
      </c>
      <c r="I118" s="3">
        <f>181*E118/100</f>
        <v>36.2</v>
      </c>
      <c r="J118" s="3">
        <f>94*E118/100</f>
        <v>18.8</v>
      </c>
      <c r="K118" s="3">
        <f>34*E118/100</f>
        <v>6.8</v>
      </c>
      <c r="L118" s="3">
        <f>41*E118/100</f>
        <v>8.2</v>
      </c>
      <c r="M118" s="3">
        <f>120*E118/100</f>
        <v>24</v>
      </c>
      <c r="N118" s="3">
        <f>2.3*E118/100</f>
        <v>0.46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ht="12.75">
      <c r="A119" s="3"/>
      <c r="B119" s="2" t="s">
        <v>51</v>
      </c>
      <c r="C119" s="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2.75">
      <c r="A120" s="3"/>
      <c r="B120" s="2" t="s">
        <v>205</v>
      </c>
      <c r="C120" s="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5.5">
      <c r="A121" s="11" t="s">
        <v>194</v>
      </c>
      <c r="B121" s="5" t="s">
        <v>195</v>
      </c>
      <c r="C121" s="5">
        <v>220</v>
      </c>
      <c r="D121" s="8"/>
      <c r="E121" s="3"/>
      <c r="F121" s="3">
        <f aca="true" t="shared" si="12" ref="F121:S121">F122+F123+F124+F125+F126+F127</f>
        <v>15.594</v>
      </c>
      <c r="G121" s="3">
        <f t="shared" si="12"/>
        <v>4.782</v>
      </c>
      <c r="H121" s="3">
        <f t="shared" si="12"/>
        <v>114.092</v>
      </c>
      <c r="I121" s="3">
        <f t="shared" si="12"/>
        <v>268.34000000000003</v>
      </c>
      <c r="J121" s="3">
        <f t="shared" si="12"/>
        <v>222.16</v>
      </c>
      <c r="K121" s="3">
        <f t="shared" si="12"/>
        <v>151.42000000000002</v>
      </c>
      <c r="L121" s="3">
        <f t="shared" si="12"/>
        <v>59.019999999999996</v>
      </c>
      <c r="M121" s="3">
        <f t="shared" si="12"/>
        <v>221.12</v>
      </c>
      <c r="N121" s="3">
        <f t="shared" si="12"/>
        <v>3.52</v>
      </c>
      <c r="O121" s="3">
        <f t="shared" si="12"/>
        <v>0</v>
      </c>
      <c r="P121" s="3">
        <f t="shared" si="12"/>
        <v>0</v>
      </c>
      <c r="Q121" s="3">
        <f t="shared" si="12"/>
        <v>0</v>
      </c>
      <c r="R121" s="3">
        <f t="shared" si="12"/>
        <v>1.8436000000000001</v>
      </c>
      <c r="S121" s="3">
        <f t="shared" si="12"/>
        <v>1.3</v>
      </c>
    </row>
    <row r="122" spans="1:19" ht="12.75">
      <c r="A122" s="11"/>
      <c r="B122" s="24" t="s">
        <v>49</v>
      </c>
      <c r="C122" s="24"/>
      <c r="D122" s="8">
        <v>44</v>
      </c>
      <c r="E122" s="8">
        <v>44</v>
      </c>
      <c r="F122" s="8">
        <f>12.6*E122/100</f>
        <v>5.544</v>
      </c>
      <c r="G122" s="8">
        <f>3.3*E122/100</f>
        <v>1.452</v>
      </c>
      <c r="H122" s="90">
        <f>62.1*E122/100</f>
        <v>27.324</v>
      </c>
      <c r="I122" s="8">
        <f>335*E122/100</f>
        <v>147.4</v>
      </c>
      <c r="J122" s="91">
        <f>167*E122/100</f>
        <v>73.48</v>
      </c>
      <c r="K122" s="9">
        <f>70*E122/100</f>
        <v>30.8</v>
      </c>
      <c r="L122" s="8">
        <f>98*E122/100</f>
        <v>43.12</v>
      </c>
      <c r="M122" s="8">
        <f>298*E122/100</f>
        <v>131.12</v>
      </c>
      <c r="N122" s="8">
        <f>8*E122/100</f>
        <v>3.52</v>
      </c>
      <c r="O122" s="8">
        <v>0</v>
      </c>
      <c r="P122" s="8">
        <v>0</v>
      </c>
      <c r="Q122" s="8">
        <v>0</v>
      </c>
      <c r="R122" s="8">
        <f>4.19*E122/100</f>
        <v>1.8436000000000001</v>
      </c>
      <c r="S122" s="8">
        <v>0</v>
      </c>
    </row>
    <row r="123" spans="1:19" ht="12.75">
      <c r="A123" s="11"/>
      <c r="B123" s="24" t="s">
        <v>27</v>
      </c>
      <c r="C123" s="24"/>
      <c r="D123" s="8">
        <v>100</v>
      </c>
      <c r="E123" s="8">
        <v>100</v>
      </c>
      <c r="F123" s="8">
        <f>2.8*E123/100</f>
        <v>2.8</v>
      </c>
      <c r="G123" s="8">
        <f>3.2*E123/100</f>
        <v>3.2</v>
      </c>
      <c r="H123" s="8">
        <f>4.7*E123/100</f>
        <v>4.7</v>
      </c>
      <c r="I123" s="8">
        <f>58*E123/100</f>
        <v>58</v>
      </c>
      <c r="J123" s="8">
        <f>146*E123/100</f>
        <v>146</v>
      </c>
      <c r="K123" s="9">
        <f>120*E123/100</f>
        <v>120</v>
      </c>
      <c r="L123" s="8">
        <f>14*E123/100</f>
        <v>14</v>
      </c>
      <c r="M123" s="9">
        <f>90*E123/100</f>
        <v>90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f>1.3*E123/100</f>
        <v>1.3</v>
      </c>
    </row>
    <row r="124" spans="1:19" ht="12.75">
      <c r="A124" s="11"/>
      <c r="B124" s="23" t="s">
        <v>33</v>
      </c>
      <c r="C124" s="23"/>
      <c r="D124" s="23">
        <v>65</v>
      </c>
      <c r="E124" s="8">
        <v>65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</row>
    <row r="125" spans="1:19" ht="12.75">
      <c r="A125" s="3"/>
      <c r="B125" s="23" t="s">
        <v>28</v>
      </c>
      <c r="C125" s="23"/>
      <c r="D125" s="23">
        <v>16</v>
      </c>
      <c r="E125" s="23">
        <v>16</v>
      </c>
      <c r="F125" s="77">
        <v>0</v>
      </c>
      <c r="G125" s="77">
        <v>0</v>
      </c>
      <c r="H125" s="77">
        <f>99.8*E125/100</f>
        <v>15.968</v>
      </c>
      <c r="I125" s="77">
        <f>379*E125/100</f>
        <v>60.64</v>
      </c>
      <c r="J125" s="77">
        <f>3*E125/100</f>
        <v>0.48</v>
      </c>
      <c r="K125" s="77">
        <f>2*E125/100</f>
        <v>0.32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</row>
    <row r="126" spans="1:19" ht="12.75">
      <c r="A126" s="3"/>
      <c r="B126" s="23" t="s">
        <v>46</v>
      </c>
      <c r="C126" s="23"/>
      <c r="D126" s="23">
        <v>0.5</v>
      </c>
      <c r="E126" s="23">
        <v>0.5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1:19" ht="12.75">
      <c r="A127" s="3"/>
      <c r="B127" s="37" t="s">
        <v>35</v>
      </c>
      <c r="C127" s="37"/>
      <c r="D127" s="23">
        <v>10</v>
      </c>
      <c r="E127" s="23">
        <v>10</v>
      </c>
      <c r="F127" s="8">
        <f>72.5*D127/100</f>
        <v>7.25</v>
      </c>
      <c r="G127" s="8">
        <f>1.3*D127/100</f>
        <v>0.13</v>
      </c>
      <c r="H127" s="8">
        <f>661*D127/100</f>
        <v>66.1</v>
      </c>
      <c r="I127" s="8">
        <f>23*D127/100</f>
        <v>2.3</v>
      </c>
      <c r="J127" s="9">
        <f>22*D127/100</f>
        <v>2.2</v>
      </c>
      <c r="K127" s="8">
        <f>3*D127/100</f>
        <v>0.3</v>
      </c>
      <c r="L127" s="9">
        <f>19*D127/100</f>
        <v>1.9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38">
        <v>0</v>
      </c>
    </row>
    <row r="128" spans="1:19" ht="12.75">
      <c r="A128" s="92"/>
      <c r="B128" s="5"/>
      <c r="C128" s="5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</row>
    <row r="129" spans="1:19" ht="12.75">
      <c r="A129" s="11" t="s">
        <v>74</v>
      </c>
      <c r="B129" s="5" t="s">
        <v>75</v>
      </c>
      <c r="C129" s="39">
        <v>200</v>
      </c>
      <c r="D129" s="23"/>
      <c r="E129" s="2"/>
      <c r="F129" s="3">
        <f aca="true" t="shared" si="13" ref="F129:S129">SUM(F130:F132)</f>
        <v>0.1</v>
      </c>
      <c r="G129" s="3">
        <f t="shared" si="13"/>
        <v>0</v>
      </c>
      <c r="H129" s="3">
        <f t="shared" si="13"/>
        <v>15</v>
      </c>
      <c r="I129" s="3">
        <f t="shared" si="13"/>
        <v>57.699999999999996</v>
      </c>
      <c r="J129" s="3">
        <f t="shared" si="13"/>
        <v>12.9</v>
      </c>
      <c r="K129" s="3">
        <f t="shared" si="13"/>
        <v>2.9</v>
      </c>
      <c r="L129" s="3">
        <f t="shared" si="13"/>
        <v>2.2</v>
      </c>
      <c r="M129" s="3">
        <f t="shared" si="13"/>
        <v>4.12</v>
      </c>
      <c r="N129" s="3">
        <f t="shared" si="13"/>
        <v>0.4</v>
      </c>
      <c r="O129" s="3">
        <f t="shared" si="13"/>
        <v>0</v>
      </c>
      <c r="P129" s="3">
        <f t="shared" si="13"/>
        <v>0</v>
      </c>
      <c r="Q129" s="3">
        <f t="shared" si="13"/>
        <v>0</v>
      </c>
      <c r="R129" s="32">
        <f t="shared" si="13"/>
        <v>0</v>
      </c>
      <c r="S129" s="3">
        <f t="shared" si="13"/>
        <v>0</v>
      </c>
    </row>
    <row r="130" spans="1:19" ht="12.75">
      <c r="A130" s="11"/>
      <c r="B130" s="13" t="s">
        <v>38</v>
      </c>
      <c r="C130" s="23"/>
      <c r="D130" s="33">
        <v>50</v>
      </c>
      <c r="E130" s="33">
        <v>50</v>
      </c>
      <c r="F130" s="8">
        <v>0.1</v>
      </c>
      <c r="G130" s="8">
        <v>0</v>
      </c>
      <c r="H130" s="8">
        <v>0</v>
      </c>
      <c r="I130" s="8">
        <v>0.8</v>
      </c>
      <c r="J130" s="9">
        <v>12.4</v>
      </c>
      <c r="K130" s="8">
        <v>2.5</v>
      </c>
      <c r="L130" s="8">
        <v>2.2</v>
      </c>
      <c r="M130" s="9">
        <v>4.12</v>
      </c>
      <c r="N130" s="8">
        <v>0.4</v>
      </c>
      <c r="O130" s="8">
        <v>0</v>
      </c>
      <c r="P130" s="8">
        <v>0</v>
      </c>
      <c r="Q130" s="8">
        <v>0</v>
      </c>
      <c r="R130" s="34">
        <v>0</v>
      </c>
      <c r="S130" s="8">
        <v>0</v>
      </c>
    </row>
    <row r="131" spans="1:19" ht="12.75">
      <c r="A131" s="11"/>
      <c r="B131" s="13" t="s">
        <v>28</v>
      </c>
      <c r="C131" s="23"/>
      <c r="D131" s="33">
        <v>15</v>
      </c>
      <c r="E131" s="33">
        <v>15</v>
      </c>
      <c r="F131" s="8">
        <v>0</v>
      </c>
      <c r="G131" s="8">
        <v>0</v>
      </c>
      <c r="H131" s="8">
        <v>15</v>
      </c>
      <c r="I131" s="8">
        <v>56.9</v>
      </c>
      <c r="J131" s="9">
        <v>0.5</v>
      </c>
      <c r="K131" s="8">
        <v>0.4</v>
      </c>
      <c r="L131" s="8">
        <v>0</v>
      </c>
      <c r="M131" s="9">
        <v>0</v>
      </c>
      <c r="N131" s="8">
        <v>0</v>
      </c>
      <c r="O131" s="8">
        <v>0</v>
      </c>
      <c r="P131" s="8">
        <v>0</v>
      </c>
      <c r="Q131" s="8">
        <v>0</v>
      </c>
      <c r="R131" s="34">
        <v>0</v>
      </c>
      <c r="S131" s="8">
        <v>0</v>
      </c>
    </row>
    <row r="132" spans="1:19" ht="12.75">
      <c r="A132" s="11"/>
      <c r="B132" s="13" t="s">
        <v>33</v>
      </c>
      <c r="C132" s="23"/>
      <c r="D132" s="33">
        <v>150</v>
      </c>
      <c r="E132" s="33">
        <v>150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34">
        <v>0</v>
      </c>
      <c r="S132" s="8">
        <v>0</v>
      </c>
    </row>
    <row r="133" spans="1:19" ht="12.75">
      <c r="A133" s="11" t="s">
        <v>23</v>
      </c>
      <c r="B133" s="5" t="s">
        <v>89</v>
      </c>
      <c r="C133" s="5">
        <v>20</v>
      </c>
      <c r="D133" s="8">
        <v>20</v>
      </c>
      <c r="E133" s="38">
        <v>20</v>
      </c>
      <c r="F133" s="3">
        <f>7.7*E133/100</f>
        <v>1.54</v>
      </c>
      <c r="G133" s="3">
        <v>5.4</v>
      </c>
      <c r="H133" s="3">
        <f>49.8*E133/100</f>
        <v>9.96</v>
      </c>
      <c r="I133" s="3">
        <f>262*E133/100</f>
        <v>52.4</v>
      </c>
      <c r="J133" s="3">
        <f>127*E133/100</f>
        <v>25.4</v>
      </c>
      <c r="K133" s="3">
        <f>26*E133/100</f>
        <v>5.2</v>
      </c>
      <c r="L133" s="3">
        <f>35*E133/100</f>
        <v>7</v>
      </c>
      <c r="M133" s="3">
        <f>83*E133/100</f>
        <v>16.6</v>
      </c>
      <c r="N133" s="3">
        <f>1.6*E133/100</f>
        <v>0.32</v>
      </c>
      <c r="O133" s="3">
        <v>0</v>
      </c>
      <c r="P133" s="3">
        <v>0</v>
      </c>
      <c r="Q133" s="3">
        <v>0</v>
      </c>
      <c r="R133" s="3">
        <f>1.54*E133/100</f>
        <v>0.308</v>
      </c>
      <c r="S133" s="3">
        <v>0</v>
      </c>
    </row>
    <row r="134" spans="1:19" ht="12.75">
      <c r="A134" s="11"/>
      <c r="B134" s="2" t="s">
        <v>1</v>
      </c>
      <c r="C134" s="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38.25">
      <c r="A135" s="31" t="s">
        <v>132</v>
      </c>
      <c r="B135" s="5" t="s">
        <v>168</v>
      </c>
      <c r="C135" s="5" t="s">
        <v>159</v>
      </c>
      <c r="D135" s="8"/>
      <c r="E135" s="3">
        <v>250</v>
      </c>
      <c r="F135" s="3">
        <f>F136+F137+F138+F139+F140+F141</f>
        <v>2.81</v>
      </c>
      <c r="G135" s="3">
        <f aca="true" t="shared" si="14" ref="G135:S135">G136+G137+G138+G139+G140+G141</f>
        <v>2.9075</v>
      </c>
      <c r="H135" s="3">
        <f t="shared" si="14"/>
        <v>20.705000000000002</v>
      </c>
      <c r="I135" s="3">
        <f t="shared" si="14"/>
        <v>121.525</v>
      </c>
      <c r="J135" s="3">
        <f t="shared" si="14"/>
        <v>475.9</v>
      </c>
      <c r="K135" s="3">
        <f t="shared" si="14"/>
        <v>15.1</v>
      </c>
      <c r="L135" s="3">
        <f t="shared" si="14"/>
        <v>24.05</v>
      </c>
      <c r="M135" s="3">
        <f t="shared" si="14"/>
        <v>63.5</v>
      </c>
      <c r="N135" s="3">
        <f t="shared" si="14"/>
        <v>0.795</v>
      </c>
      <c r="O135" s="3">
        <f t="shared" si="14"/>
        <v>0</v>
      </c>
      <c r="P135" s="3">
        <f t="shared" si="14"/>
        <v>0</v>
      </c>
      <c r="Q135" s="3">
        <f t="shared" si="14"/>
        <v>0</v>
      </c>
      <c r="R135" s="3">
        <f t="shared" si="14"/>
        <v>1.075</v>
      </c>
      <c r="S135" s="3">
        <f t="shared" si="14"/>
        <v>16.5</v>
      </c>
    </row>
    <row r="136" spans="1:19" ht="12.75">
      <c r="A136" s="31"/>
      <c r="B136" s="24" t="s">
        <v>29</v>
      </c>
      <c r="C136" s="24"/>
      <c r="D136" s="8">
        <v>100</v>
      </c>
      <c r="E136" s="15">
        <v>75</v>
      </c>
      <c r="F136" s="15">
        <f>E136*2/100</f>
        <v>1.5</v>
      </c>
      <c r="G136" s="15">
        <f>0.4*E136/100</f>
        <v>0.3</v>
      </c>
      <c r="H136" s="15">
        <f>16.3*E136/100</f>
        <v>12.225</v>
      </c>
      <c r="I136" s="15">
        <f>77*E136/100</f>
        <v>57.75</v>
      </c>
      <c r="J136" s="15">
        <f>568*E136/100</f>
        <v>426</v>
      </c>
      <c r="K136" s="17">
        <f>10*E136/100</f>
        <v>7.5</v>
      </c>
      <c r="L136" s="15">
        <f>23*E136/100</f>
        <v>17.25</v>
      </c>
      <c r="M136" s="17">
        <f>58*E136/100</f>
        <v>43.5</v>
      </c>
      <c r="N136" s="15">
        <f>0.9*E136/100</f>
        <v>0.675</v>
      </c>
      <c r="O136" s="15">
        <v>0</v>
      </c>
      <c r="P136" s="15">
        <v>0</v>
      </c>
      <c r="Q136" s="15">
        <v>0</v>
      </c>
      <c r="R136" s="15">
        <f>1.3*E136/100</f>
        <v>0.975</v>
      </c>
      <c r="S136" s="15">
        <f>20*E136/100</f>
        <v>15</v>
      </c>
    </row>
    <row r="137" spans="1:19" ht="25.5">
      <c r="A137" s="31"/>
      <c r="B137" s="24" t="s">
        <v>133</v>
      </c>
      <c r="C137" s="24"/>
      <c r="D137" s="8">
        <v>10</v>
      </c>
      <c r="E137" s="15">
        <v>10</v>
      </c>
      <c r="F137" s="15">
        <f>10.4*E137/100</f>
        <v>1.04</v>
      </c>
      <c r="G137" s="15">
        <f>1.1*E137/100</f>
        <v>0.11</v>
      </c>
      <c r="H137" s="15">
        <f>69.7*E137/100</f>
        <v>6.97</v>
      </c>
      <c r="I137" s="15">
        <f>337*E137/100</f>
        <v>33.7</v>
      </c>
      <c r="J137" s="17">
        <f>124*E137/100</f>
        <v>12.4</v>
      </c>
      <c r="K137" s="15">
        <f>18*E137/100</f>
        <v>1.8</v>
      </c>
      <c r="L137" s="15">
        <f>16*E137/100</f>
        <v>1.6</v>
      </c>
      <c r="M137" s="15">
        <f>87*E137/100</f>
        <v>8.7</v>
      </c>
      <c r="N137" s="15">
        <f>1.2*E137/100</f>
        <v>0.12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</row>
    <row r="138" spans="1:19" ht="12.75">
      <c r="A138" s="31"/>
      <c r="B138" s="24" t="s">
        <v>30</v>
      </c>
      <c r="C138" s="24"/>
      <c r="D138" s="8">
        <v>12.5</v>
      </c>
      <c r="E138" s="15">
        <v>10</v>
      </c>
      <c r="F138" s="23">
        <f>1.3*E138/100</f>
        <v>0.13</v>
      </c>
      <c r="G138" s="23">
        <v>0</v>
      </c>
      <c r="H138" s="23">
        <f>6.9*E138/100</f>
        <v>0.69</v>
      </c>
      <c r="I138" s="23">
        <f>35*E138/100</f>
        <v>3.5</v>
      </c>
      <c r="J138" s="23">
        <f>200*E138/100</f>
        <v>20</v>
      </c>
      <c r="K138" s="23">
        <f>27*E138/100</f>
        <v>2.7</v>
      </c>
      <c r="L138" s="23">
        <f>38*E138/100</f>
        <v>3.8</v>
      </c>
      <c r="M138" s="23">
        <f>55*E138/100</f>
        <v>5.5</v>
      </c>
      <c r="N138" s="23">
        <v>0</v>
      </c>
      <c r="O138" s="23">
        <v>0</v>
      </c>
      <c r="P138" s="23">
        <v>0</v>
      </c>
      <c r="Q138" s="23">
        <v>0</v>
      </c>
      <c r="R138" s="23">
        <f>1*E138/100</f>
        <v>0.1</v>
      </c>
      <c r="S138" s="23">
        <f>5*E138/100</f>
        <v>0.5</v>
      </c>
    </row>
    <row r="139" spans="1:19" ht="12.75">
      <c r="A139" s="31"/>
      <c r="B139" s="24" t="s">
        <v>31</v>
      </c>
      <c r="C139" s="24"/>
      <c r="D139" s="8">
        <v>12</v>
      </c>
      <c r="E139" s="15">
        <v>10</v>
      </c>
      <c r="F139" s="23">
        <f>1.4*E139/100</f>
        <v>0.14</v>
      </c>
      <c r="G139" s="23">
        <v>0</v>
      </c>
      <c r="H139" s="23">
        <f>8.2*E139/100</f>
        <v>0.82</v>
      </c>
      <c r="I139" s="23">
        <f>41*E139/100</f>
        <v>4.1</v>
      </c>
      <c r="J139" s="23">
        <f>175*E139/100</f>
        <v>17.5</v>
      </c>
      <c r="K139" s="23">
        <f>31*E139/100</f>
        <v>3.1</v>
      </c>
      <c r="L139" s="23">
        <f>14*E139/100</f>
        <v>1.4</v>
      </c>
      <c r="M139" s="23">
        <f>58*E139/100</f>
        <v>5.8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f>10*E139/100</f>
        <v>1</v>
      </c>
    </row>
    <row r="140" spans="1:19" ht="12.75">
      <c r="A140" s="31"/>
      <c r="B140" s="40" t="s">
        <v>32</v>
      </c>
      <c r="C140" s="40"/>
      <c r="D140" s="8">
        <v>2.5</v>
      </c>
      <c r="E140" s="15">
        <v>2.5</v>
      </c>
      <c r="F140" s="15">
        <v>0</v>
      </c>
      <c r="G140" s="15">
        <f>99.9*E140/100</f>
        <v>2.4975</v>
      </c>
      <c r="H140" s="15">
        <v>0</v>
      </c>
      <c r="I140" s="15">
        <f>899*E140/100</f>
        <v>22.475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</row>
    <row r="141" spans="1:19" ht="12.75">
      <c r="A141" s="31"/>
      <c r="B141" s="24" t="s">
        <v>33</v>
      </c>
      <c r="C141" s="24"/>
      <c r="D141" s="8">
        <v>175</v>
      </c>
      <c r="E141" s="8">
        <v>175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</row>
    <row r="142" spans="1:19" ht="12.75">
      <c r="A142" s="11"/>
      <c r="B142" s="27" t="s">
        <v>50</v>
      </c>
      <c r="C142" s="27"/>
      <c r="D142" s="23">
        <v>5</v>
      </c>
      <c r="E142" s="23">
        <v>5</v>
      </c>
      <c r="F142" s="23">
        <v>0.7</v>
      </c>
      <c r="G142" s="23">
        <v>0.8</v>
      </c>
      <c r="H142" s="23">
        <v>0.1</v>
      </c>
      <c r="I142" s="23">
        <v>12</v>
      </c>
      <c r="J142" s="23">
        <v>6.3</v>
      </c>
      <c r="K142" s="23">
        <v>5</v>
      </c>
      <c r="L142" s="23">
        <v>0.4</v>
      </c>
      <c r="M142" s="23">
        <v>3.5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</row>
    <row r="143" spans="1:19" ht="12.75">
      <c r="A143" s="3"/>
      <c r="B143" s="23" t="s">
        <v>46</v>
      </c>
      <c r="C143" s="51"/>
      <c r="D143" s="23">
        <v>2</v>
      </c>
      <c r="E143" s="23">
        <v>2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</row>
    <row r="144" spans="1:19" ht="12.75">
      <c r="A144" s="11">
        <v>229</v>
      </c>
      <c r="B144" s="5" t="s">
        <v>206</v>
      </c>
      <c r="C144" s="8">
        <v>60</v>
      </c>
      <c r="D144" s="8"/>
      <c r="E144" s="3"/>
      <c r="F144" s="3">
        <v>17.132</v>
      </c>
      <c r="G144" s="3">
        <v>14.3</v>
      </c>
      <c r="H144" s="3">
        <v>7.678</v>
      </c>
      <c r="I144" s="3">
        <v>184.096</v>
      </c>
      <c r="J144" s="3">
        <v>467.316</v>
      </c>
      <c r="K144" s="3">
        <v>62.1</v>
      </c>
      <c r="L144" s="3">
        <v>66.9</v>
      </c>
      <c r="M144" s="3">
        <v>252.3</v>
      </c>
      <c r="N144" s="3">
        <v>1.4</v>
      </c>
      <c r="O144" s="3">
        <v>2.93</v>
      </c>
      <c r="P144" s="3">
        <v>0.12</v>
      </c>
      <c r="Q144" s="3">
        <v>0.12</v>
      </c>
      <c r="R144" s="3">
        <v>1.32</v>
      </c>
      <c r="S144" s="3">
        <v>7.35</v>
      </c>
    </row>
    <row r="145" spans="1:19" ht="12.75">
      <c r="A145" s="11"/>
      <c r="B145" s="13" t="s">
        <v>83</v>
      </c>
      <c r="C145" s="13"/>
      <c r="D145" s="8">
        <v>84</v>
      </c>
      <c r="E145" s="8">
        <v>40</v>
      </c>
      <c r="F145" s="8">
        <v>15.9</v>
      </c>
      <c r="G145" s="8">
        <v>0.9</v>
      </c>
      <c r="H145" s="8">
        <v>0</v>
      </c>
      <c r="I145" s="8">
        <v>72</v>
      </c>
      <c r="J145" s="8">
        <v>390.6</v>
      </c>
      <c r="K145" s="8">
        <v>37.2</v>
      </c>
      <c r="L145" s="8">
        <v>51.2</v>
      </c>
      <c r="M145" s="8">
        <v>223.2</v>
      </c>
      <c r="N145" s="8">
        <v>0.75</v>
      </c>
      <c r="O145" s="8">
        <v>0.01</v>
      </c>
      <c r="P145" s="8">
        <v>0.1</v>
      </c>
      <c r="Q145" s="8">
        <v>0.1</v>
      </c>
      <c r="R145" s="8">
        <v>0.94</v>
      </c>
      <c r="S145" s="8">
        <v>1.7</v>
      </c>
    </row>
    <row r="146" spans="1:19" ht="12.75">
      <c r="A146" s="11"/>
      <c r="B146" s="13" t="s">
        <v>33</v>
      </c>
      <c r="C146" s="13"/>
      <c r="D146" s="8">
        <v>15.6</v>
      </c>
      <c r="E146" s="8">
        <v>15.6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</row>
    <row r="147" spans="1:19" ht="12.75">
      <c r="A147" s="11"/>
      <c r="B147" s="37" t="s">
        <v>207</v>
      </c>
      <c r="C147" s="13"/>
      <c r="D147" s="8">
        <v>6</v>
      </c>
      <c r="E147" s="8">
        <v>6</v>
      </c>
      <c r="F147" s="8">
        <v>0.4</v>
      </c>
      <c r="G147" s="8">
        <v>0</v>
      </c>
      <c r="H147" s="8">
        <v>2.3</v>
      </c>
      <c r="I147" s="8">
        <v>11.8</v>
      </c>
      <c r="J147" s="8">
        <v>63</v>
      </c>
      <c r="K147" s="8">
        <v>16</v>
      </c>
      <c r="L147" s="8">
        <v>12</v>
      </c>
      <c r="M147" s="8">
        <v>17.3</v>
      </c>
      <c r="N147" s="8">
        <v>0.4</v>
      </c>
      <c r="O147" s="8">
        <v>2.8</v>
      </c>
      <c r="P147" s="8">
        <v>0.02</v>
      </c>
      <c r="Q147" s="8">
        <v>0.02</v>
      </c>
      <c r="R147" s="8">
        <v>0.3</v>
      </c>
      <c r="S147" s="8">
        <v>1.6</v>
      </c>
    </row>
    <row r="148" spans="1:19" ht="12.75">
      <c r="A148" s="11"/>
      <c r="B148" s="37" t="s">
        <v>89</v>
      </c>
      <c r="C148" s="5"/>
      <c r="D148" s="8">
        <v>10.8</v>
      </c>
      <c r="E148" s="38">
        <v>10.8</v>
      </c>
      <c r="F148" s="38">
        <f>7.7*E148/100</f>
        <v>0.8316000000000001</v>
      </c>
      <c r="G148" s="38">
        <v>5.4</v>
      </c>
      <c r="H148" s="38">
        <f>49.8*E148/100</f>
        <v>5.3784</v>
      </c>
      <c r="I148" s="38">
        <f>262*E148/100</f>
        <v>28.296000000000003</v>
      </c>
      <c r="J148" s="38">
        <f>127*E148/100</f>
        <v>13.716000000000001</v>
      </c>
      <c r="K148" s="38">
        <f>26*E148/100</f>
        <v>2.8080000000000003</v>
      </c>
      <c r="L148" s="38">
        <f>35*E148/100</f>
        <v>3.78</v>
      </c>
      <c r="M148" s="38">
        <f>83*E148/100</f>
        <v>8.964</v>
      </c>
      <c r="N148" s="38">
        <f>1.6*E148/100</f>
        <v>0.1728</v>
      </c>
      <c r="O148" s="38">
        <v>0</v>
      </c>
      <c r="P148" s="38">
        <v>0</v>
      </c>
      <c r="Q148" s="38">
        <v>0</v>
      </c>
      <c r="R148" s="38">
        <f>1.54*E148/100</f>
        <v>0.16632000000000002</v>
      </c>
      <c r="S148" s="38">
        <v>0</v>
      </c>
    </row>
    <row r="149" spans="1:19" ht="12.75">
      <c r="A149" s="11"/>
      <c r="B149" s="13" t="s">
        <v>32</v>
      </c>
      <c r="C149" s="13"/>
      <c r="D149" s="8">
        <v>6</v>
      </c>
      <c r="E149" s="8">
        <v>6</v>
      </c>
      <c r="F149" s="8">
        <v>0</v>
      </c>
      <c r="G149" s="8">
        <v>8</v>
      </c>
      <c r="H149" s="8">
        <v>0</v>
      </c>
      <c r="I149" s="8">
        <v>72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</row>
    <row r="150" spans="1:19" ht="12.75">
      <c r="A150" s="11"/>
      <c r="B150" s="13" t="s">
        <v>46</v>
      </c>
      <c r="C150" s="13"/>
      <c r="D150" s="8">
        <v>1</v>
      </c>
      <c r="E150" s="8">
        <v>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</row>
    <row r="151" spans="1:19" ht="12.75">
      <c r="A151" s="11" t="s">
        <v>60</v>
      </c>
      <c r="B151" s="6" t="s">
        <v>61</v>
      </c>
      <c r="C151" s="6">
        <v>150</v>
      </c>
      <c r="D151" s="15"/>
      <c r="E151" s="3"/>
      <c r="F151" s="3">
        <f>F152+F153+F154+F155</f>
        <v>3.2296000000000005</v>
      </c>
      <c r="G151" s="3">
        <f aca="true" t="shared" si="15" ref="G151:S151">G152+G153+G154+G155</f>
        <v>4.8966</v>
      </c>
      <c r="H151" s="3">
        <f t="shared" si="15"/>
        <v>22.091800000000006</v>
      </c>
      <c r="I151" s="3">
        <f t="shared" si="15"/>
        <v>145.58700000000002</v>
      </c>
      <c r="J151" s="3">
        <f t="shared" si="15"/>
        <v>764.4960000000001</v>
      </c>
      <c r="K151" s="3">
        <f t="shared" si="15"/>
        <v>42.370000000000005</v>
      </c>
      <c r="L151" s="3">
        <f t="shared" si="15"/>
        <v>32.977</v>
      </c>
      <c r="M151" s="3">
        <f t="shared" si="15"/>
        <v>96.694</v>
      </c>
      <c r="N151" s="3">
        <f t="shared" si="15"/>
        <v>1.1547</v>
      </c>
      <c r="O151" s="3">
        <f t="shared" si="15"/>
        <v>0</v>
      </c>
      <c r="P151" s="3">
        <f t="shared" si="15"/>
        <v>0</v>
      </c>
      <c r="Q151" s="3">
        <f t="shared" si="15"/>
        <v>0</v>
      </c>
      <c r="R151" s="3">
        <f t="shared" si="15"/>
        <v>1.6679000000000002</v>
      </c>
      <c r="S151" s="3">
        <f t="shared" si="15"/>
        <v>25.9681</v>
      </c>
    </row>
    <row r="152" spans="1:19" ht="12.75">
      <c r="A152" s="11"/>
      <c r="B152" s="30" t="s">
        <v>29</v>
      </c>
      <c r="C152" s="30"/>
      <c r="D152" s="15">
        <v>171</v>
      </c>
      <c r="E152" s="15">
        <v>128.3</v>
      </c>
      <c r="F152" s="15">
        <f>E152*2/100</f>
        <v>2.5660000000000003</v>
      </c>
      <c r="G152" s="15">
        <f>0.4*E152/100</f>
        <v>0.5132000000000001</v>
      </c>
      <c r="H152" s="15">
        <f>16.3*E152/100</f>
        <v>20.912900000000004</v>
      </c>
      <c r="I152" s="15">
        <f>77*E152/100</f>
        <v>98.791</v>
      </c>
      <c r="J152" s="15">
        <f>568*E152/100</f>
        <v>728.7440000000001</v>
      </c>
      <c r="K152" s="17">
        <f>10*E152/100</f>
        <v>12.83</v>
      </c>
      <c r="L152" s="15">
        <f>23*E152/100</f>
        <v>29.509</v>
      </c>
      <c r="M152" s="17">
        <f>58*E152/100</f>
        <v>74.414</v>
      </c>
      <c r="N152" s="15">
        <f>0.9*E152/100</f>
        <v>1.1547</v>
      </c>
      <c r="O152" s="15">
        <v>0</v>
      </c>
      <c r="P152" s="15">
        <v>0</v>
      </c>
      <c r="Q152" s="15">
        <v>0</v>
      </c>
      <c r="R152" s="15">
        <f>1.3*E152/100</f>
        <v>1.6679000000000002</v>
      </c>
      <c r="S152" s="15">
        <f>20*E152/100</f>
        <v>25.66</v>
      </c>
    </row>
    <row r="153" spans="1:19" ht="12.75">
      <c r="A153" s="11"/>
      <c r="B153" s="30" t="s">
        <v>35</v>
      </c>
      <c r="C153" s="30"/>
      <c r="D153" s="15">
        <v>5</v>
      </c>
      <c r="E153" s="15">
        <v>5</v>
      </c>
      <c r="F153" s="15">
        <v>0</v>
      </c>
      <c r="G153" s="15">
        <f>72.5*E153/100</f>
        <v>3.625</v>
      </c>
      <c r="H153" s="15">
        <f>1.3*E153/100</f>
        <v>0.065</v>
      </c>
      <c r="I153" s="15">
        <f>661*E153/100</f>
        <v>33.05</v>
      </c>
      <c r="J153" s="15">
        <f>23*E153/100</f>
        <v>1.15</v>
      </c>
      <c r="K153" s="17">
        <f>22*E153/100</f>
        <v>1.1</v>
      </c>
      <c r="L153" s="15">
        <f>3*E153/100</f>
        <v>0.15</v>
      </c>
      <c r="M153" s="17">
        <f>19*E153/100</f>
        <v>0.95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</row>
    <row r="154" spans="1:19" ht="12.75">
      <c r="A154" s="11"/>
      <c r="B154" s="30" t="s">
        <v>27</v>
      </c>
      <c r="C154" s="30"/>
      <c r="D154" s="15">
        <v>23.7</v>
      </c>
      <c r="E154" s="15">
        <v>23.7</v>
      </c>
      <c r="F154" s="15">
        <f>2.8*E154/100</f>
        <v>0.6636</v>
      </c>
      <c r="G154" s="15">
        <f>3.2*E154/100</f>
        <v>0.7584000000000001</v>
      </c>
      <c r="H154" s="15">
        <f>4.7*E154/100</f>
        <v>1.1139000000000001</v>
      </c>
      <c r="I154" s="15">
        <f>58*E154/100</f>
        <v>13.745999999999999</v>
      </c>
      <c r="J154" s="15">
        <f>146*E154/100</f>
        <v>34.602</v>
      </c>
      <c r="K154" s="17">
        <f>120*E154/100</f>
        <v>28.44</v>
      </c>
      <c r="L154" s="15">
        <f>14*E154/100</f>
        <v>3.318</v>
      </c>
      <c r="M154" s="17">
        <f>90*E154/100</f>
        <v>21.33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f>1.3*E154/100</f>
        <v>0.3081</v>
      </c>
    </row>
    <row r="155" spans="1:19" ht="12.75">
      <c r="A155" s="11"/>
      <c r="B155" s="30" t="s">
        <v>46</v>
      </c>
      <c r="C155" s="30"/>
      <c r="D155" s="15">
        <v>2</v>
      </c>
      <c r="E155" s="15">
        <v>2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</row>
    <row r="156" spans="1:19" ht="12.75">
      <c r="A156" s="11" t="s">
        <v>23</v>
      </c>
      <c r="B156" s="5" t="s">
        <v>89</v>
      </c>
      <c r="C156" s="5">
        <v>20</v>
      </c>
      <c r="D156" s="8">
        <v>20</v>
      </c>
      <c r="E156" s="38">
        <v>30</v>
      </c>
      <c r="F156" s="3">
        <f>7.7*E156/100</f>
        <v>2.31</v>
      </c>
      <c r="G156" s="3">
        <v>5.4</v>
      </c>
      <c r="H156" s="3">
        <f>49.8*E156/100</f>
        <v>14.94</v>
      </c>
      <c r="I156" s="3">
        <f>262*E156/100</f>
        <v>78.6</v>
      </c>
      <c r="J156" s="3">
        <f>127*E156/100</f>
        <v>38.1</v>
      </c>
      <c r="K156" s="3">
        <f>26*E156/100</f>
        <v>7.8</v>
      </c>
      <c r="L156" s="3">
        <f>35*E156/100</f>
        <v>10.5</v>
      </c>
      <c r="M156" s="3">
        <f>83*E156/100</f>
        <v>24.9</v>
      </c>
      <c r="N156" s="3">
        <f>1.6*E156/100</f>
        <v>0.48</v>
      </c>
      <c r="O156" s="3">
        <v>0</v>
      </c>
      <c r="P156" s="3">
        <v>0</v>
      </c>
      <c r="Q156" s="3">
        <v>0</v>
      </c>
      <c r="R156" s="3">
        <f>1.54*E156/100</f>
        <v>0.462</v>
      </c>
      <c r="S156" s="3">
        <v>0</v>
      </c>
    </row>
    <row r="157" spans="1:19" ht="12.75">
      <c r="A157" s="3" t="s">
        <v>138</v>
      </c>
      <c r="B157" s="5" t="s">
        <v>139</v>
      </c>
      <c r="C157" s="5">
        <v>20</v>
      </c>
      <c r="D157" s="23">
        <v>20</v>
      </c>
      <c r="E157" s="23">
        <v>20</v>
      </c>
      <c r="F157" s="3">
        <f>6.6*E157/100</f>
        <v>1.32</v>
      </c>
      <c r="G157" s="3">
        <f>1.2*E157/100</f>
        <v>0.24</v>
      </c>
      <c r="H157" s="3">
        <f>34.2*E157/100</f>
        <v>6.84</v>
      </c>
      <c r="I157" s="3">
        <f>181*E157/100</f>
        <v>36.2</v>
      </c>
      <c r="J157" s="3">
        <f>94*E157/100</f>
        <v>18.8</v>
      </c>
      <c r="K157" s="3">
        <f>34*E157/100</f>
        <v>6.8</v>
      </c>
      <c r="L157" s="3">
        <f>41*E157/100</f>
        <v>8.2</v>
      </c>
      <c r="M157" s="3">
        <f>120*E157/100</f>
        <v>24</v>
      </c>
      <c r="N157" s="3">
        <f>2.3*E157/100</f>
        <v>0.46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ht="12.75">
      <c r="A158" s="11" t="s">
        <v>74</v>
      </c>
      <c r="B158" s="5" t="s">
        <v>75</v>
      </c>
      <c r="C158" s="39">
        <v>200</v>
      </c>
      <c r="D158" s="23"/>
      <c r="E158" s="2"/>
      <c r="F158" s="3">
        <f aca="true" t="shared" si="16" ref="F158:S158">SUM(F159:F161)</f>
        <v>0.1</v>
      </c>
      <c r="G158" s="3">
        <f t="shared" si="16"/>
        <v>0</v>
      </c>
      <c r="H158" s="3">
        <f t="shared" si="16"/>
        <v>15</v>
      </c>
      <c r="I158" s="3">
        <f t="shared" si="16"/>
        <v>57.699999999999996</v>
      </c>
      <c r="J158" s="3">
        <f t="shared" si="16"/>
        <v>12.9</v>
      </c>
      <c r="K158" s="3">
        <f t="shared" si="16"/>
        <v>2.9</v>
      </c>
      <c r="L158" s="3">
        <f t="shared" si="16"/>
        <v>2.2</v>
      </c>
      <c r="M158" s="3">
        <f t="shared" si="16"/>
        <v>4.12</v>
      </c>
      <c r="N158" s="3">
        <f t="shared" si="16"/>
        <v>0.4</v>
      </c>
      <c r="O158" s="3">
        <f t="shared" si="16"/>
        <v>0</v>
      </c>
      <c r="P158" s="3">
        <f t="shared" si="16"/>
        <v>0</v>
      </c>
      <c r="Q158" s="3">
        <f t="shared" si="16"/>
        <v>0</v>
      </c>
      <c r="R158" s="32">
        <f t="shared" si="16"/>
        <v>0</v>
      </c>
      <c r="S158" s="3">
        <f t="shared" si="16"/>
        <v>0</v>
      </c>
    </row>
    <row r="159" spans="1:19" ht="12.75">
      <c r="A159" s="11"/>
      <c r="B159" s="13" t="s">
        <v>38</v>
      </c>
      <c r="C159" s="23"/>
      <c r="D159" s="33">
        <v>50</v>
      </c>
      <c r="E159" s="33">
        <v>50</v>
      </c>
      <c r="F159" s="8">
        <v>0.1</v>
      </c>
      <c r="G159" s="8">
        <v>0</v>
      </c>
      <c r="H159" s="8">
        <v>0</v>
      </c>
      <c r="I159" s="8">
        <v>0.8</v>
      </c>
      <c r="J159" s="9">
        <v>12.4</v>
      </c>
      <c r="K159" s="8">
        <v>2.5</v>
      </c>
      <c r="L159" s="8">
        <v>2.2</v>
      </c>
      <c r="M159" s="9">
        <v>4.12</v>
      </c>
      <c r="N159" s="8">
        <v>0.4</v>
      </c>
      <c r="O159" s="8">
        <v>0</v>
      </c>
      <c r="P159" s="8">
        <v>0</v>
      </c>
      <c r="Q159" s="8">
        <v>0</v>
      </c>
      <c r="R159" s="34">
        <v>0</v>
      </c>
      <c r="S159" s="8">
        <v>0</v>
      </c>
    </row>
    <row r="160" spans="1:19" ht="12.75">
      <c r="A160" s="11"/>
      <c r="B160" s="13" t="s">
        <v>28</v>
      </c>
      <c r="C160" s="23"/>
      <c r="D160" s="33">
        <v>15</v>
      </c>
      <c r="E160" s="33">
        <v>15</v>
      </c>
      <c r="F160" s="8">
        <v>0</v>
      </c>
      <c r="G160" s="8">
        <v>0</v>
      </c>
      <c r="H160" s="8">
        <v>15</v>
      </c>
      <c r="I160" s="8">
        <v>56.9</v>
      </c>
      <c r="J160" s="9">
        <v>0.5</v>
      </c>
      <c r="K160" s="8">
        <v>0.4</v>
      </c>
      <c r="L160" s="8">
        <v>0</v>
      </c>
      <c r="M160" s="9">
        <v>0</v>
      </c>
      <c r="N160" s="8">
        <v>0</v>
      </c>
      <c r="O160" s="8">
        <v>0</v>
      </c>
      <c r="P160" s="8">
        <v>0</v>
      </c>
      <c r="Q160" s="8">
        <v>0</v>
      </c>
      <c r="R160" s="34">
        <v>0</v>
      </c>
      <c r="S160" s="8">
        <v>0</v>
      </c>
    </row>
    <row r="161" spans="1:19" ht="12.75">
      <c r="A161" s="11"/>
      <c r="B161" s="13" t="s">
        <v>33</v>
      </c>
      <c r="C161" s="23"/>
      <c r="D161" s="33">
        <v>150</v>
      </c>
      <c r="E161" s="33">
        <v>150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34">
        <v>0</v>
      </c>
      <c r="S161" s="8">
        <v>0</v>
      </c>
    </row>
    <row r="162" spans="1:19" ht="12.75">
      <c r="A162" s="11"/>
      <c r="B162" s="2" t="s">
        <v>162</v>
      </c>
      <c r="C162" s="23"/>
      <c r="D162" s="33"/>
      <c r="E162" s="33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34"/>
      <c r="S162" s="8"/>
    </row>
    <row r="163" spans="1:19" ht="12.75">
      <c r="A163" s="11">
        <v>229</v>
      </c>
      <c r="B163" s="5" t="s">
        <v>206</v>
      </c>
      <c r="C163" s="8">
        <v>60</v>
      </c>
      <c r="D163" s="8"/>
      <c r="E163" s="3"/>
      <c r="F163" s="3">
        <v>17.132</v>
      </c>
      <c r="G163" s="3">
        <v>14.3</v>
      </c>
      <c r="H163" s="3">
        <v>7.678</v>
      </c>
      <c r="I163" s="3">
        <v>184.096</v>
      </c>
      <c r="J163" s="3">
        <v>467.316</v>
      </c>
      <c r="K163" s="3">
        <v>62.1</v>
      </c>
      <c r="L163" s="3">
        <v>66.9</v>
      </c>
      <c r="M163" s="3">
        <v>252.3</v>
      </c>
      <c r="N163" s="3">
        <v>1.4</v>
      </c>
      <c r="O163" s="3">
        <v>2.93</v>
      </c>
      <c r="P163" s="3">
        <v>0.12</v>
      </c>
      <c r="Q163" s="3">
        <v>0.12</v>
      </c>
      <c r="R163" s="3">
        <v>1.32</v>
      </c>
      <c r="S163" s="3">
        <v>7.35</v>
      </c>
    </row>
    <row r="164" spans="1:19" ht="12.75">
      <c r="A164" s="11"/>
      <c r="B164" s="13" t="s">
        <v>83</v>
      </c>
      <c r="C164" s="13"/>
      <c r="D164" s="8">
        <v>84</v>
      </c>
      <c r="E164" s="8">
        <v>40</v>
      </c>
      <c r="F164" s="8">
        <v>15.9</v>
      </c>
      <c r="G164" s="8">
        <v>0.9</v>
      </c>
      <c r="H164" s="8">
        <v>0</v>
      </c>
      <c r="I164" s="8">
        <v>72</v>
      </c>
      <c r="J164" s="8">
        <v>390.6</v>
      </c>
      <c r="K164" s="8">
        <v>37.2</v>
      </c>
      <c r="L164" s="8">
        <v>51.2</v>
      </c>
      <c r="M164" s="8">
        <v>223.2</v>
      </c>
      <c r="N164" s="8">
        <v>0.75</v>
      </c>
      <c r="O164" s="8">
        <v>0.01</v>
      </c>
      <c r="P164" s="8">
        <v>0.1</v>
      </c>
      <c r="Q164" s="8">
        <v>0.1</v>
      </c>
      <c r="R164" s="8">
        <v>0.94</v>
      </c>
      <c r="S164" s="8">
        <v>1.7</v>
      </c>
    </row>
    <row r="165" spans="1:19" ht="12.75">
      <c r="A165" s="11"/>
      <c r="B165" s="13" t="s">
        <v>33</v>
      </c>
      <c r="C165" s="13"/>
      <c r="D165" s="8">
        <v>15.6</v>
      </c>
      <c r="E165" s="8">
        <v>15.6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</row>
    <row r="166" spans="1:19" ht="12.75">
      <c r="A166" s="11"/>
      <c r="B166" s="37" t="s">
        <v>207</v>
      </c>
      <c r="C166" s="13"/>
      <c r="D166" s="8">
        <v>6</v>
      </c>
      <c r="E166" s="8">
        <v>6</v>
      </c>
      <c r="F166" s="8">
        <v>0.4</v>
      </c>
      <c r="G166" s="8">
        <v>0</v>
      </c>
      <c r="H166" s="8">
        <v>2.3</v>
      </c>
      <c r="I166" s="8">
        <v>11.8</v>
      </c>
      <c r="J166" s="8">
        <v>63</v>
      </c>
      <c r="K166" s="8">
        <v>16</v>
      </c>
      <c r="L166" s="8">
        <v>12</v>
      </c>
      <c r="M166" s="8">
        <v>17.3</v>
      </c>
      <c r="N166" s="8">
        <v>0.4</v>
      </c>
      <c r="O166" s="8">
        <v>2.8</v>
      </c>
      <c r="P166" s="8">
        <v>0.02</v>
      </c>
      <c r="Q166" s="8">
        <v>0.02</v>
      </c>
      <c r="R166" s="8">
        <v>0.3</v>
      </c>
      <c r="S166" s="8">
        <v>1.6</v>
      </c>
    </row>
    <row r="167" spans="1:19" ht="12.75">
      <c r="A167" s="11"/>
      <c r="B167" s="37" t="s">
        <v>89</v>
      </c>
      <c r="C167" s="5"/>
      <c r="D167" s="8">
        <v>10.8</v>
      </c>
      <c r="E167" s="38">
        <v>10.8</v>
      </c>
      <c r="F167" s="38">
        <f>7.7*E167/100</f>
        <v>0.8316000000000001</v>
      </c>
      <c r="G167" s="38">
        <v>5.4</v>
      </c>
      <c r="H167" s="38">
        <f>49.8*E167/100</f>
        <v>5.3784</v>
      </c>
      <c r="I167" s="38">
        <f>262*E167/100</f>
        <v>28.296000000000003</v>
      </c>
      <c r="J167" s="38">
        <f>127*E167/100</f>
        <v>13.716000000000001</v>
      </c>
      <c r="K167" s="38">
        <f>26*E167/100</f>
        <v>2.8080000000000003</v>
      </c>
      <c r="L167" s="38">
        <f>35*E167/100</f>
        <v>3.78</v>
      </c>
      <c r="M167" s="38">
        <f>83*E167/100</f>
        <v>8.964</v>
      </c>
      <c r="N167" s="38">
        <f>1.6*E167/100</f>
        <v>0.1728</v>
      </c>
      <c r="O167" s="38">
        <v>0</v>
      </c>
      <c r="P167" s="38">
        <v>0</v>
      </c>
      <c r="Q167" s="38">
        <v>0</v>
      </c>
      <c r="R167" s="38">
        <f>1.54*E167/100</f>
        <v>0.16632000000000002</v>
      </c>
      <c r="S167" s="38">
        <v>0</v>
      </c>
    </row>
    <row r="168" spans="1:19" ht="12.75">
      <c r="A168" s="11"/>
      <c r="B168" s="13" t="s">
        <v>32</v>
      </c>
      <c r="C168" s="13"/>
      <c r="D168" s="8">
        <v>6</v>
      </c>
      <c r="E168" s="8">
        <v>6</v>
      </c>
      <c r="F168" s="8">
        <v>0</v>
      </c>
      <c r="G168" s="8">
        <v>8</v>
      </c>
      <c r="H168" s="8">
        <v>0</v>
      </c>
      <c r="I168" s="8">
        <v>72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</row>
    <row r="169" spans="1:19" ht="12.75">
      <c r="A169" s="11"/>
      <c r="B169" s="13" t="s">
        <v>46</v>
      </c>
      <c r="C169" s="13"/>
      <c r="D169" s="8">
        <v>1</v>
      </c>
      <c r="E169" s="8">
        <v>1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</row>
    <row r="170" spans="1:19" ht="15" customHeight="1">
      <c r="A170" s="11" t="s">
        <v>60</v>
      </c>
      <c r="B170" s="6" t="s">
        <v>61</v>
      </c>
      <c r="C170" s="6">
        <v>150</v>
      </c>
      <c r="D170" s="15"/>
      <c r="E170" s="3"/>
      <c r="F170" s="3">
        <f>F171+F172+F173+F174</f>
        <v>3.2296000000000005</v>
      </c>
      <c r="G170" s="3">
        <f aca="true" t="shared" si="17" ref="G170:S170">G171+G172+G173+G174</f>
        <v>4.8966</v>
      </c>
      <c r="H170" s="3">
        <f t="shared" si="17"/>
        <v>22.091800000000006</v>
      </c>
      <c r="I170" s="3">
        <f t="shared" si="17"/>
        <v>145.58700000000002</v>
      </c>
      <c r="J170" s="3">
        <f t="shared" si="17"/>
        <v>764.4960000000001</v>
      </c>
      <c r="K170" s="3">
        <f t="shared" si="17"/>
        <v>42.370000000000005</v>
      </c>
      <c r="L170" s="3">
        <f t="shared" si="17"/>
        <v>32.977</v>
      </c>
      <c r="M170" s="3">
        <f t="shared" si="17"/>
        <v>96.694</v>
      </c>
      <c r="N170" s="3">
        <f t="shared" si="17"/>
        <v>1.1547</v>
      </c>
      <c r="O170" s="3">
        <f t="shared" si="17"/>
        <v>0</v>
      </c>
      <c r="P170" s="3">
        <f t="shared" si="17"/>
        <v>0</v>
      </c>
      <c r="Q170" s="3">
        <f t="shared" si="17"/>
        <v>0</v>
      </c>
      <c r="R170" s="3">
        <f t="shared" si="17"/>
        <v>1.6679000000000002</v>
      </c>
      <c r="S170" s="3">
        <f t="shared" si="17"/>
        <v>25.9681</v>
      </c>
    </row>
    <row r="171" spans="1:19" ht="15" customHeight="1">
      <c r="A171" s="11"/>
      <c r="B171" s="30" t="s">
        <v>29</v>
      </c>
      <c r="C171" s="30"/>
      <c r="D171" s="15">
        <v>171</v>
      </c>
      <c r="E171" s="15">
        <v>128.3</v>
      </c>
      <c r="F171" s="15">
        <f>E171*2/100</f>
        <v>2.5660000000000003</v>
      </c>
      <c r="G171" s="15">
        <f>0.4*E171/100</f>
        <v>0.5132000000000001</v>
      </c>
      <c r="H171" s="15">
        <f>16.3*E171/100</f>
        <v>20.912900000000004</v>
      </c>
      <c r="I171" s="15">
        <f>77*E171/100</f>
        <v>98.791</v>
      </c>
      <c r="J171" s="15">
        <f>568*E171/100</f>
        <v>728.7440000000001</v>
      </c>
      <c r="K171" s="17">
        <f>10*E171/100</f>
        <v>12.83</v>
      </c>
      <c r="L171" s="15">
        <f>23*E171/100</f>
        <v>29.509</v>
      </c>
      <c r="M171" s="17">
        <f>58*E171/100</f>
        <v>74.414</v>
      </c>
      <c r="N171" s="15">
        <f>0.9*E171/100</f>
        <v>1.1547</v>
      </c>
      <c r="O171" s="15">
        <v>0</v>
      </c>
      <c r="P171" s="15">
        <v>0</v>
      </c>
      <c r="Q171" s="15">
        <v>0</v>
      </c>
      <c r="R171" s="15">
        <f>1.3*E171/100</f>
        <v>1.6679000000000002</v>
      </c>
      <c r="S171" s="15">
        <f>20*E171/100</f>
        <v>25.66</v>
      </c>
    </row>
    <row r="172" spans="1:19" ht="12.75">
      <c r="A172" s="11"/>
      <c r="B172" s="30" t="s">
        <v>35</v>
      </c>
      <c r="C172" s="30"/>
      <c r="D172" s="15">
        <v>5</v>
      </c>
      <c r="E172" s="15">
        <v>5</v>
      </c>
      <c r="F172" s="15">
        <v>0</v>
      </c>
      <c r="G172" s="15">
        <f>72.5*E172/100</f>
        <v>3.625</v>
      </c>
      <c r="H172" s="15">
        <f>1.3*E172/100</f>
        <v>0.065</v>
      </c>
      <c r="I172" s="15">
        <f>661*E172/100</f>
        <v>33.05</v>
      </c>
      <c r="J172" s="15">
        <f>23*E172/100</f>
        <v>1.15</v>
      </c>
      <c r="K172" s="17">
        <f>22*E172/100</f>
        <v>1.1</v>
      </c>
      <c r="L172" s="15">
        <f>3*E172/100</f>
        <v>0.15</v>
      </c>
      <c r="M172" s="17">
        <f>19*E172/100</f>
        <v>0.95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</row>
    <row r="173" spans="1:19" ht="12.75">
      <c r="A173" s="11"/>
      <c r="B173" s="30" t="s">
        <v>27</v>
      </c>
      <c r="C173" s="30"/>
      <c r="D173" s="15">
        <v>23.7</v>
      </c>
      <c r="E173" s="15">
        <v>23.7</v>
      </c>
      <c r="F173" s="15">
        <f>2.8*E173/100</f>
        <v>0.6636</v>
      </c>
      <c r="G173" s="15">
        <f>3.2*E173/100</f>
        <v>0.7584000000000001</v>
      </c>
      <c r="H173" s="15">
        <f>4.7*E173/100</f>
        <v>1.1139000000000001</v>
      </c>
      <c r="I173" s="15">
        <f>58*E173/100</f>
        <v>13.745999999999999</v>
      </c>
      <c r="J173" s="15">
        <f>146*E173/100</f>
        <v>34.602</v>
      </c>
      <c r="K173" s="17">
        <f>120*E173/100</f>
        <v>28.44</v>
      </c>
      <c r="L173" s="15">
        <f>14*E173/100</f>
        <v>3.318</v>
      </c>
      <c r="M173" s="17">
        <f>90*E173/100</f>
        <v>21.33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f>1.3*E173/100</f>
        <v>0.3081</v>
      </c>
    </row>
    <row r="174" spans="1:19" ht="12.75">
      <c r="A174" s="11"/>
      <c r="B174" s="30" t="s">
        <v>46</v>
      </c>
      <c r="C174" s="30"/>
      <c r="D174" s="15">
        <v>2</v>
      </c>
      <c r="E174" s="15">
        <v>2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</row>
    <row r="175" spans="1:19" ht="12.75">
      <c r="A175" s="11" t="s">
        <v>23</v>
      </c>
      <c r="B175" s="5" t="s">
        <v>89</v>
      </c>
      <c r="C175" s="5">
        <v>20</v>
      </c>
      <c r="D175" s="8">
        <v>20</v>
      </c>
      <c r="E175" s="38">
        <v>30</v>
      </c>
      <c r="F175" s="3">
        <f>7.7*E175/100</f>
        <v>2.31</v>
      </c>
      <c r="G175" s="3">
        <v>5.4</v>
      </c>
      <c r="H175" s="3">
        <f>49.8*E175/100</f>
        <v>14.94</v>
      </c>
      <c r="I175" s="3">
        <f>262*E175/100</f>
        <v>78.6</v>
      </c>
      <c r="J175" s="3">
        <f>127*E175/100</f>
        <v>38.1</v>
      </c>
      <c r="K175" s="3">
        <f>26*E175/100</f>
        <v>7.8</v>
      </c>
      <c r="L175" s="3">
        <f>35*E175/100</f>
        <v>10.5</v>
      </c>
      <c r="M175" s="3">
        <f>83*E175/100</f>
        <v>24.9</v>
      </c>
      <c r="N175" s="3">
        <f>1.6*E175/100</f>
        <v>0.48</v>
      </c>
      <c r="O175" s="3">
        <v>0</v>
      </c>
      <c r="P175" s="3">
        <v>0</v>
      </c>
      <c r="Q175" s="3">
        <v>0</v>
      </c>
      <c r="R175" s="3">
        <f>1.54*E175/100</f>
        <v>0.462</v>
      </c>
      <c r="S175" s="3">
        <v>0</v>
      </c>
    </row>
    <row r="176" spans="1:19" ht="12.75">
      <c r="A176" s="3" t="s">
        <v>138</v>
      </c>
      <c r="B176" s="5" t="s">
        <v>139</v>
      </c>
      <c r="C176" s="5">
        <v>20</v>
      </c>
      <c r="D176" s="23">
        <v>20</v>
      </c>
      <c r="E176" s="23">
        <v>20</v>
      </c>
      <c r="F176" s="3">
        <f>6.6*E176/100</f>
        <v>1.32</v>
      </c>
      <c r="G176" s="3">
        <f>1.2*E176/100</f>
        <v>0.24</v>
      </c>
      <c r="H176" s="3">
        <f>34.2*E176/100</f>
        <v>6.84</v>
      </c>
      <c r="I176" s="3">
        <f>181*E176/100</f>
        <v>36.2</v>
      </c>
      <c r="J176" s="3">
        <f>94*E176/100</f>
        <v>18.8</v>
      </c>
      <c r="K176" s="3">
        <f>34*E176/100</f>
        <v>6.8</v>
      </c>
      <c r="L176" s="3">
        <f>41*E176/100</f>
        <v>8.2</v>
      </c>
      <c r="M176" s="3">
        <f>120*E176/100</f>
        <v>24</v>
      </c>
      <c r="N176" s="3">
        <f>2.3*E176/100</f>
        <v>0.46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</row>
    <row r="177" spans="1:19" ht="12.75">
      <c r="A177" s="11" t="s">
        <v>74</v>
      </c>
      <c r="B177" s="5" t="s">
        <v>75</v>
      </c>
      <c r="C177" s="39">
        <v>200</v>
      </c>
      <c r="D177" s="23"/>
      <c r="E177" s="2"/>
      <c r="F177" s="3">
        <f aca="true" t="shared" si="18" ref="F177:S177">SUM(F178:F180)</f>
        <v>0.1</v>
      </c>
      <c r="G177" s="3">
        <f t="shared" si="18"/>
        <v>0</v>
      </c>
      <c r="H177" s="3">
        <f t="shared" si="18"/>
        <v>15</v>
      </c>
      <c r="I177" s="3">
        <f t="shared" si="18"/>
        <v>57.699999999999996</v>
      </c>
      <c r="J177" s="3">
        <f t="shared" si="18"/>
        <v>12.9</v>
      </c>
      <c r="K177" s="3">
        <f t="shared" si="18"/>
        <v>2.9</v>
      </c>
      <c r="L177" s="3">
        <f t="shared" si="18"/>
        <v>2.2</v>
      </c>
      <c r="M177" s="3">
        <f t="shared" si="18"/>
        <v>4.12</v>
      </c>
      <c r="N177" s="3">
        <f t="shared" si="18"/>
        <v>0.4</v>
      </c>
      <c r="O177" s="3">
        <f t="shared" si="18"/>
        <v>0</v>
      </c>
      <c r="P177" s="3">
        <f t="shared" si="18"/>
        <v>0</v>
      </c>
      <c r="Q177" s="3">
        <f t="shared" si="18"/>
        <v>0</v>
      </c>
      <c r="R177" s="32">
        <f t="shared" si="18"/>
        <v>0</v>
      </c>
      <c r="S177" s="3">
        <f t="shared" si="18"/>
        <v>0</v>
      </c>
    </row>
    <row r="178" spans="1:19" ht="12.75">
      <c r="A178" s="11"/>
      <c r="B178" s="13" t="s">
        <v>38</v>
      </c>
      <c r="C178" s="23"/>
      <c r="D178" s="33">
        <v>50</v>
      </c>
      <c r="E178" s="33">
        <v>50</v>
      </c>
      <c r="F178" s="8">
        <v>0.1</v>
      </c>
      <c r="G178" s="8">
        <v>0</v>
      </c>
      <c r="H178" s="8">
        <v>0</v>
      </c>
      <c r="I178" s="8">
        <v>0.8</v>
      </c>
      <c r="J178" s="9">
        <v>12.4</v>
      </c>
      <c r="K178" s="8">
        <v>2.5</v>
      </c>
      <c r="L178" s="8">
        <v>2.2</v>
      </c>
      <c r="M178" s="9">
        <v>4.12</v>
      </c>
      <c r="N178" s="8">
        <v>0.4</v>
      </c>
      <c r="O178" s="8">
        <v>0</v>
      </c>
      <c r="P178" s="8">
        <v>0</v>
      </c>
      <c r="Q178" s="8">
        <v>0</v>
      </c>
      <c r="R178" s="34">
        <v>0</v>
      </c>
      <c r="S178" s="8">
        <v>0</v>
      </c>
    </row>
    <row r="179" spans="1:19" ht="12.75">
      <c r="A179" s="11"/>
      <c r="B179" s="13" t="s">
        <v>28</v>
      </c>
      <c r="C179" s="23"/>
      <c r="D179" s="33">
        <v>15</v>
      </c>
      <c r="E179" s="33">
        <v>15</v>
      </c>
      <c r="F179" s="8">
        <v>0</v>
      </c>
      <c r="G179" s="8">
        <v>0</v>
      </c>
      <c r="H179" s="8">
        <v>15</v>
      </c>
      <c r="I179" s="8">
        <v>56.9</v>
      </c>
      <c r="J179" s="9">
        <v>0.5</v>
      </c>
      <c r="K179" s="8">
        <v>0.4</v>
      </c>
      <c r="L179" s="8">
        <v>0</v>
      </c>
      <c r="M179" s="9">
        <v>0</v>
      </c>
      <c r="N179" s="8">
        <v>0</v>
      </c>
      <c r="O179" s="8">
        <v>0</v>
      </c>
      <c r="P179" s="8">
        <v>0</v>
      </c>
      <c r="Q179" s="8">
        <v>0</v>
      </c>
      <c r="R179" s="34">
        <v>0</v>
      </c>
      <c r="S179" s="8">
        <v>0</v>
      </c>
    </row>
    <row r="180" spans="1:19" ht="12.75">
      <c r="A180" s="11"/>
      <c r="B180" s="13" t="s">
        <v>33</v>
      </c>
      <c r="C180" s="23"/>
      <c r="D180" s="33">
        <v>150</v>
      </c>
      <c r="E180" s="33">
        <v>150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34">
        <v>0</v>
      </c>
      <c r="S180" s="8">
        <v>0</v>
      </c>
    </row>
    <row r="181" spans="1:19" ht="12.75">
      <c r="A181" s="11"/>
      <c r="B181" s="2" t="s">
        <v>54</v>
      </c>
      <c r="C181" s="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12.75">
      <c r="A182" s="11"/>
      <c r="B182" s="2" t="s">
        <v>205</v>
      </c>
      <c r="C182" s="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12.75">
      <c r="A183" s="11" t="s">
        <v>199</v>
      </c>
      <c r="B183" s="5" t="s">
        <v>200</v>
      </c>
      <c r="C183" s="5">
        <v>200</v>
      </c>
      <c r="D183" s="8"/>
      <c r="E183" s="3"/>
      <c r="F183" s="3">
        <f>F184+F185+F186+F187+F188+F189</f>
        <v>6.6724</v>
      </c>
      <c r="G183" s="3">
        <f aca="true" t="shared" si="19" ref="G183:S183">G184+G185+G186+G187+G188+G189</f>
        <v>6.8943</v>
      </c>
      <c r="H183" s="3">
        <f t="shared" si="19"/>
        <v>41.81420000000001</v>
      </c>
      <c r="I183" s="3">
        <f t="shared" si="19"/>
        <v>260.819</v>
      </c>
      <c r="J183" s="3">
        <f t="shared" si="19"/>
        <v>173.074</v>
      </c>
      <c r="K183" s="3">
        <f t="shared" si="19"/>
        <v>20.968000000000004</v>
      </c>
      <c r="L183" s="3">
        <f t="shared" si="19"/>
        <v>20.726000000000003</v>
      </c>
      <c r="M183" s="3">
        <f t="shared" si="19"/>
        <v>73.652</v>
      </c>
      <c r="N183" s="3">
        <f t="shared" si="19"/>
        <v>0.7702</v>
      </c>
      <c r="O183" s="3">
        <f t="shared" si="19"/>
        <v>0</v>
      </c>
      <c r="P183" s="3">
        <f t="shared" si="19"/>
        <v>0</v>
      </c>
      <c r="Q183" s="3">
        <f t="shared" si="19"/>
        <v>0</v>
      </c>
      <c r="R183" s="3">
        <f t="shared" si="19"/>
        <v>0.225</v>
      </c>
      <c r="S183" s="3">
        <f t="shared" si="19"/>
        <v>5.5</v>
      </c>
    </row>
    <row r="184" spans="1:19" ht="12.75">
      <c r="A184" s="11"/>
      <c r="B184" s="24" t="s">
        <v>121</v>
      </c>
      <c r="C184" s="24"/>
      <c r="D184" s="8">
        <v>54.6</v>
      </c>
      <c r="E184" s="8">
        <v>54.6</v>
      </c>
      <c r="F184" s="8">
        <f>10.4*E184/100</f>
        <v>5.6784</v>
      </c>
      <c r="G184" s="8">
        <f>1.1*E184/100</f>
        <v>0.6006000000000001</v>
      </c>
      <c r="H184" s="8">
        <f>69.7*E184/100</f>
        <v>38.056200000000004</v>
      </c>
      <c r="I184" s="8">
        <f>337*E184/100</f>
        <v>184.002</v>
      </c>
      <c r="J184" s="9">
        <f>124*E184/100</f>
        <v>67.70400000000001</v>
      </c>
      <c r="K184" s="8">
        <f>18*E184/100</f>
        <v>9.828000000000001</v>
      </c>
      <c r="L184" s="8">
        <f>16*E184/100</f>
        <v>8.736</v>
      </c>
      <c r="M184" s="8">
        <f>87*E184/100</f>
        <v>47.501999999999995</v>
      </c>
      <c r="N184" s="8">
        <f>1.2*E184/100</f>
        <v>0.6552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</row>
    <row r="185" spans="1:19" ht="12.75">
      <c r="A185" s="11"/>
      <c r="B185" s="24" t="s">
        <v>30</v>
      </c>
      <c r="C185" s="24"/>
      <c r="D185" s="8">
        <v>15.6</v>
      </c>
      <c r="E185" s="8">
        <v>13</v>
      </c>
      <c r="F185" s="23">
        <f>1.3*E185/100</f>
        <v>0.169</v>
      </c>
      <c r="G185" s="23">
        <v>0</v>
      </c>
      <c r="H185" s="23">
        <f>6.9*E185/100</f>
        <v>0.897</v>
      </c>
      <c r="I185" s="23">
        <f>35*E185/100</f>
        <v>4.55</v>
      </c>
      <c r="J185" s="23">
        <f>200*E185/100</f>
        <v>26</v>
      </c>
      <c r="K185" s="23">
        <f>27*E185/100</f>
        <v>3.51</v>
      </c>
      <c r="L185" s="23">
        <f>38*E185/100</f>
        <v>4.94</v>
      </c>
      <c r="M185" s="23">
        <f>55*E185/100</f>
        <v>7.15</v>
      </c>
      <c r="N185" s="23">
        <v>0</v>
      </c>
      <c r="O185" s="23">
        <v>0</v>
      </c>
      <c r="P185" s="23">
        <v>0</v>
      </c>
      <c r="Q185" s="23">
        <v>0</v>
      </c>
      <c r="R185" s="23">
        <f>1*E185/100</f>
        <v>0.13</v>
      </c>
      <c r="S185" s="23">
        <f>5*E185/100</f>
        <v>0.65</v>
      </c>
    </row>
    <row r="186" spans="1:19" ht="12.75">
      <c r="A186" s="11"/>
      <c r="B186" s="24" t="s">
        <v>31</v>
      </c>
      <c r="C186" s="24"/>
      <c r="D186" s="8">
        <v>15.6</v>
      </c>
      <c r="E186" s="93">
        <v>13</v>
      </c>
      <c r="F186" s="23">
        <f>1.4*E186/100</f>
        <v>0.182</v>
      </c>
      <c r="G186" s="23">
        <v>0</v>
      </c>
      <c r="H186" s="23">
        <f>8.2*E186/100</f>
        <v>1.0659999999999998</v>
      </c>
      <c r="I186" s="23">
        <f>41*E186/100</f>
        <v>5.33</v>
      </c>
      <c r="J186" s="23">
        <f>175*E186/100</f>
        <v>22.75</v>
      </c>
      <c r="K186" s="23">
        <f>31*E186/100</f>
        <v>4.03</v>
      </c>
      <c r="L186" s="23">
        <f>14*E186/100</f>
        <v>1.82</v>
      </c>
      <c r="M186" s="23">
        <f>58*E186/100</f>
        <v>7.54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f>10*E186/100</f>
        <v>1.3</v>
      </c>
    </row>
    <row r="187" spans="1:19" ht="25.5">
      <c r="A187" s="11"/>
      <c r="B187" s="24" t="s">
        <v>82</v>
      </c>
      <c r="C187" s="24"/>
      <c r="D187" s="8">
        <v>19.4</v>
      </c>
      <c r="E187" s="8">
        <v>13</v>
      </c>
      <c r="F187" s="8">
        <f>3.1*E187/100</f>
        <v>0.403</v>
      </c>
      <c r="G187" s="8">
        <v>0</v>
      </c>
      <c r="H187" s="8">
        <f>6.5*E187/100</f>
        <v>0.845</v>
      </c>
      <c r="I187" s="90">
        <f>40*E187/100</f>
        <v>5.2</v>
      </c>
      <c r="J187" s="8">
        <f>99*E187/100</f>
        <v>12.87</v>
      </c>
      <c r="K187" s="9">
        <f>20*E187/100</f>
        <v>2.6</v>
      </c>
      <c r="L187" s="9">
        <f>21*E187/100</f>
        <v>2.73</v>
      </c>
      <c r="M187" s="9">
        <f>62*E187/100</f>
        <v>8.06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90">
        <f>10*E187/100</f>
        <v>1.3</v>
      </c>
    </row>
    <row r="188" spans="1:19" ht="12.75">
      <c r="A188" s="11"/>
      <c r="B188" s="24" t="s">
        <v>34</v>
      </c>
      <c r="C188" s="24"/>
      <c r="D188" s="8">
        <v>5</v>
      </c>
      <c r="E188" s="8">
        <v>5</v>
      </c>
      <c r="F188" s="23">
        <f>4.8*E188/100</f>
        <v>0.24</v>
      </c>
      <c r="G188" s="23">
        <v>0</v>
      </c>
      <c r="H188" s="23">
        <f>19*E188/100</f>
        <v>0.95</v>
      </c>
      <c r="I188" s="23">
        <f>102*E188/100</f>
        <v>5.1</v>
      </c>
      <c r="J188" s="23">
        <f>875*E188/100</f>
        <v>43.75</v>
      </c>
      <c r="K188" s="23">
        <f>20*E188/100</f>
        <v>1</v>
      </c>
      <c r="L188" s="23">
        <f>50*E188/100</f>
        <v>2.5</v>
      </c>
      <c r="M188" s="23">
        <f>68*E188/100</f>
        <v>3.4</v>
      </c>
      <c r="N188" s="23">
        <f>2.3*E188/100</f>
        <v>0.115</v>
      </c>
      <c r="O188" s="23">
        <v>0</v>
      </c>
      <c r="P188" s="23">
        <v>0</v>
      </c>
      <c r="Q188" s="23">
        <v>0</v>
      </c>
      <c r="R188" s="23">
        <f>1.9*E188/100</f>
        <v>0.095</v>
      </c>
      <c r="S188" s="23">
        <f>45*E188/100</f>
        <v>2.25</v>
      </c>
    </row>
    <row r="189" spans="1:19" ht="12.75">
      <c r="A189" s="11"/>
      <c r="B189" s="24" t="s">
        <v>32</v>
      </c>
      <c r="C189" s="24"/>
      <c r="D189" s="8">
        <v>6.3</v>
      </c>
      <c r="E189" s="8">
        <v>6.3</v>
      </c>
      <c r="F189" s="8">
        <v>0</v>
      </c>
      <c r="G189" s="8">
        <f>99.9*E189/100</f>
        <v>6.2937</v>
      </c>
      <c r="H189" s="8">
        <v>0</v>
      </c>
      <c r="I189" s="8">
        <f>899*E189/100</f>
        <v>56.637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</row>
    <row r="190" spans="1:19" ht="12.75">
      <c r="A190" s="11"/>
      <c r="B190" s="24" t="s">
        <v>46</v>
      </c>
      <c r="C190" s="14"/>
      <c r="D190" s="8">
        <v>2</v>
      </c>
      <c r="E190" s="3">
        <v>2</v>
      </c>
      <c r="F190" s="8">
        <v>0</v>
      </c>
      <c r="G190" s="8">
        <v>0</v>
      </c>
      <c r="H190" s="8">
        <v>0</v>
      </c>
      <c r="I190" s="8">
        <v>0</v>
      </c>
      <c r="J190" s="91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</row>
    <row r="191" spans="1:19" ht="12.75">
      <c r="A191" s="11" t="s">
        <v>23</v>
      </c>
      <c r="B191" s="5" t="s">
        <v>198</v>
      </c>
      <c r="C191" s="5">
        <v>30</v>
      </c>
      <c r="D191" s="8">
        <v>30</v>
      </c>
      <c r="E191" s="38">
        <v>30</v>
      </c>
      <c r="F191" s="8">
        <v>0</v>
      </c>
      <c r="G191" s="8">
        <f>72.5*E191/100</f>
        <v>21.75</v>
      </c>
      <c r="H191" s="8">
        <v>0</v>
      </c>
      <c r="I191" s="8">
        <f>661*E191/100</f>
        <v>198.3</v>
      </c>
      <c r="J191" s="8">
        <f>23*E191/100</f>
        <v>6.9</v>
      </c>
      <c r="K191" s="8">
        <f>22*E191/100</f>
        <v>6.6</v>
      </c>
      <c r="L191" s="8">
        <f>3*E191/100</f>
        <v>0.9</v>
      </c>
      <c r="M191" s="8">
        <f>19*E191/100</f>
        <v>5.7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</row>
    <row r="192" spans="1:19" ht="24">
      <c r="A192" s="84" t="s">
        <v>185</v>
      </c>
      <c r="B192" s="85" t="s">
        <v>186</v>
      </c>
      <c r="C192" s="85">
        <v>200</v>
      </c>
      <c r="D192" s="85"/>
      <c r="E192" s="85"/>
      <c r="F192" s="3">
        <f aca="true" t="shared" si="20" ref="F192:S192">SUM(F193:F194)</f>
        <v>0.1</v>
      </c>
      <c r="G192" s="3">
        <f t="shared" si="20"/>
        <v>0</v>
      </c>
      <c r="H192" s="3">
        <f t="shared" si="20"/>
        <v>0</v>
      </c>
      <c r="I192" s="3">
        <f t="shared" si="20"/>
        <v>0.8</v>
      </c>
      <c r="J192" s="3">
        <f t="shared" si="20"/>
        <v>12.4</v>
      </c>
      <c r="K192" s="3">
        <f t="shared" si="20"/>
        <v>2.5</v>
      </c>
      <c r="L192" s="3">
        <f t="shared" si="20"/>
        <v>2.2</v>
      </c>
      <c r="M192" s="3">
        <f t="shared" si="20"/>
        <v>4.1</v>
      </c>
      <c r="N192" s="3">
        <f t="shared" si="20"/>
        <v>0.4</v>
      </c>
      <c r="O192" s="3">
        <f t="shared" si="20"/>
        <v>0</v>
      </c>
      <c r="P192" s="3">
        <f t="shared" si="20"/>
        <v>0</v>
      </c>
      <c r="Q192" s="3">
        <f t="shared" si="20"/>
        <v>0</v>
      </c>
      <c r="R192" s="3">
        <f t="shared" si="20"/>
        <v>0</v>
      </c>
      <c r="S192" s="3">
        <f t="shared" si="20"/>
        <v>0</v>
      </c>
    </row>
    <row r="193" spans="1:19" ht="12.75">
      <c r="A193" s="87" t="s">
        <v>188</v>
      </c>
      <c r="B193" s="88" t="s">
        <v>189</v>
      </c>
      <c r="C193" s="88"/>
      <c r="D193" s="88">
        <v>50</v>
      </c>
      <c r="E193" s="88">
        <v>50</v>
      </c>
      <c r="F193" s="88">
        <v>0.1</v>
      </c>
      <c r="G193" s="88">
        <v>0</v>
      </c>
      <c r="H193" s="88">
        <v>0</v>
      </c>
      <c r="I193" s="88">
        <v>0.8</v>
      </c>
      <c r="J193" s="88">
        <v>12.4</v>
      </c>
      <c r="K193" s="88">
        <v>2.5</v>
      </c>
      <c r="L193" s="88">
        <v>2.2</v>
      </c>
      <c r="M193" s="88">
        <v>4.1</v>
      </c>
      <c r="N193" s="88">
        <v>0.4</v>
      </c>
      <c r="O193" s="88">
        <v>0</v>
      </c>
      <c r="P193" s="88">
        <v>0</v>
      </c>
      <c r="Q193" s="88">
        <v>0</v>
      </c>
      <c r="R193" s="88">
        <v>0</v>
      </c>
      <c r="S193" s="88">
        <v>0</v>
      </c>
    </row>
    <row r="194" spans="1:19" ht="12.75">
      <c r="A194" s="89"/>
      <c r="B194" s="88" t="s">
        <v>33</v>
      </c>
      <c r="C194" s="88"/>
      <c r="D194" s="88">
        <v>150</v>
      </c>
      <c r="E194" s="88">
        <v>150</v>
      </c>
      <c r="F194" s="88">
        <v>0</v>
      </c>
      <c r="G194" s="88">
        <v>0</v>
      </c>
      <c r="H194" s="88">
        <v>0</v>
      </c>
      <c r="I194" s="88">
        <v>0</v>
      </c>
      <c r="J194" s="88">
        <v>0</v>
      </c>
      <c r="K194" s="88">
        <v>0</v>
      </c>
      <c r="L194" s="88">
        <v>0</v>
      </c>
      <c r="M194" s="88">
        <v>0</v>
      </c>
      <c r="N194" s="88">
        <v>0</v>
      </c>
      <c r="O194" s="88">
        <v>0</v>
      </c>
      <c r="P194" s="88">
        <v>0</v>
      </c>
      <c r="Q194" s="88">
        <v>0</v>
      </c>
      <c r="R194" s="88">
        <v>0</v>
      </c>
      <c r="S194" s="88">
        <v>0</v>
      </c>
    </row>
    <row r="195" spans="1:19" ht="12.75">
      <c r="A195" s="11"/>
      <c r="B195" s="2" t="s">
        <v>1</v>
      </c>
      <c r="C195" s="23"/>
      <c r="D195" s="15"/>
      <c r="E195" s="38"/>
      <c r="F195" s="15"/>
      <c r="G195" s="15"/>
      <c r="H195" s="15"/>
      <c r="I195" s="15"/>
      <c r="J195" s="16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25.5">
      <c r="A196" s="11" t="s">
        <v>2</v>
      </c>
      <c r="B196" s="5" t="s">
        <v>174</v>
      </c>
      <c r="C196" s="5">
        <v>250</v>
      </c>
      <c r="D196" s="15"/>
      <c r="E196" s="3"/>
      <c r="F196" s="3">
        <v>1.83</v>
      </c>
      <c r="G196" s="3">
        <v>5.15</v>
      </c>
      <c r="H196" s="7">
        <v>13.43</v>
      </c>
      <c r="I196" s="45">
        <v>103.97</v>
      </c>
      <c r="J196" s="7">
        <v>362.8</v>
      </c>
      <c r="K196" s="3">
        <v>33.59</v>
      </c>
      <c r="L196" s="3">
        <v>24.55</v>
      </c>
      <c r="M196" s="3">
        <v>50.1</v>
      </c>
      <c r="N196" s="3">
        <v>1.02</v>
      </c>
      <c r="O196" s="3">
        <v>0</v>
      </c>
      <c r="P196" s="3">
        <v>0</v>
      </c>
      <c r="Q196" s="3">
        <v>0</v>
      </c>
      <c r="R196" s="3">
        <v>0.39</v>
      </c>
      <c r="S196" s="3">
        <v>20.85</v>
      </c>
    </row>
    <row r="197" spans="1:19" ht="12.75">
      <c r="A197" s="11"/>
      <c r="B197" s="18" t="s">
        <v>39</v>
      </c>
      <c r="C197" s="18"/>
      <c r="D197" s="15">
        <v>50</v>
      </c>
      <c r="E197" s="15">
        <v>40</v>
      </c>
      <c r="F197" s="15">
        <v>0.6</v>
      </c>
      <c r="G197" s="15">
        <v>0.04</v>
      </c>
      <c r="H197" s="17">
        <v>4</v>
      </c>
      <c r="I197" s="17">
        <v>16.8</v>
      </c>
      <c r="J197" s="15">
        <v>115.2</v>
      </c>
      <c r="K197" s="15">
        <v>14.8</v>
      </c>
      <c r="L197" s="15">
        <v>8.8</v>
      </c>
      <c r="M197" s="15">
        <v>17.2</v>
      </c>
      <c r="N197" s="15">
        <v>0.56</v>
      </c>
      <c r="O197" s="15">
        <v>0</v>
      </c>
      <c r="P197" s="15">
        <v>0</v>
      </c>
      <c r="Q197" s="15">
        <v>0</v>
      </c>
      <c r="R197" s="15">
        <v>0</v>
      </c>
      <c r="S197" s="15">
        <v>4</v>
      </c>
    </row>
    <row r="198" spans="1:19" ht="12.75">
      <c r="A198" s="11"/>
      <c r="B198" s="18" t="s">
        <v>40</v>
      </c>
      <c r="C198" s="18"/>
      <c r="D198" s="15">
        <v>25</v>
      </c>
      <c r="E198" s="15">
        <v>20</v>
      </c>
      <c r="F198" s="15">
        <v>0.36</v>
      </c>
      <c r="G198" s="15">
        <v>0.02</v>
      </c>
      <c r="H198" s="17">
        <v>0.94</v>
      </c>
      <c r="I198" s="17">
        <v>5.4</v>
      </c>
      <c r="J198" s="15">
        <v>60</v>
      </c>
      <c r="K198" s="15">
        <v>9.6</v>
      </c>
      <c r="L198" s="15">
        <v>3.2</v>
      </c>
      <c r="M198" s="15">
        <v>6.2</v>
      </c>
      <c r="N198" s="15">
        <v>0.12</v>
      </c>
      <c r="O198" s="15">
        <v>0</v>
      </c>
      <c r="P198" s="15">
        <v>0</v>
      </c>
      <c r="Q198" s="15">
        <v>0</v>
      </c>
      <c r="R198" s="15">
        <v>0</v>
      </c>
      <c r="S198" s="15">
        <v>9</v>
      </c>
    </row>
    <row r="199" spans="1:19" ht="12.75">
      <c r="A199" s="11"/>
      <c r="B199" s="18" t="s">
        <v>29</v>
      </c>
      <c r="C199" s="18"/>
      <c r="D199" s="15">
        <v>27</v>
      </c>
      <c r="E199" s="15">
        <v>20</v>
      </c>
      <c r="F199" s="15">
        <v>0.4</v>
      </c>
      <c r="G199" s="15">
        <v>0.08</v>
      </c>
      <c r="H199" s="17">
        <v>3.46</v>
      </c>
      <c r="I199" s="17">
        <v>16</v>
      </c>
      <c r="J199" s="15">
        <v>113.6</v>
      </c>
      <c r="K199" s="15">
        <v>2</v>
      </c>
      <c r="L199" s="15">
        <v>4.6</v>
      </c>
      <c r="M199" s="15">
        <v>11.6</v>
      </c>
      <c r="N199" s="15">
        <v>0.18</v>
      </c>
      <c r="O199" s="15">
        <v>0</v>
      </c>
      <c r="P199" s="15">
        <v>0</v>
      </c>
      <c r="Q199" s="15">
        <v>0</v>
      </c>
      <c r="R199" s="15">
        <v>0.26</v>
      </c>
      <c r="S199" s="15">
        <v>4</v>
      </c>
    </row>
    <row r="200" spans="1:19" ht="12.75">
      <c r="A200" s="11"/>
      <c r="B200" s="18" t="s">
        <v>30</v>
      </c>
      <c r="C200" s="18"/>
      <c r="D200" s="15">
        <v>16</v>
      </c>
      <c r="E200" s="15">
        <v>12.5</v>
      </c>
      <c r="F200" s="15">
        <v>0.16</v>
      </c>
      <c r="G200" s="15">
        <v>0.01</v>
      </c>
      <c r="H200" s="17">
        <v>1.05</v>
      </c>
      <c r="I200" s="17">
        <v>4.25</v>
      </c>
      <c r="J200" s="16">
        <v>25</v>
      </c>
      <c r="K200" s="15">
        <v>3.37</v>
      </c>
      <c r="L200" s="15">
        <v>4.75</v>
      </c>
      <c r="M200" s="17">
        <v>6.9</v>
      </c>
      <c r="N200" s="15">
        <v>0.08</v>
      </c>
      <c r="O200" s="15">
        <v>0</v>
      </c>
      <c r="P200" s="15">
        <v>0</v>
      </c>
      <c r="Q200" s="15">
        <v>0</v>
      </c>
      <c r="R200" s="15">
        <v>0.13</v>
      </c>
      <c r="S200" s="15">
        <v>1.25</v>
      </c>
    </row>
    <row r="201" spans="1:19" ht="12.75">
      <c r="A201" s="11"/>
      <c r="B201" s="18" t="s">
        <v>31</v>
      </c>
      <c r="C201" s="18"/>
      <c r="D201" s="15">
        <v>12</v>
      </c>
      <c r="E201" s="15">
        <v>10</v>
      </c>
      <c r="F201" s="15">
        <v>0.14</v>
      </c>
      <c r="G201" s="15">
        <v>0</v>
      </c>
      <c r="H201" s="17">
        <v>0.91</v>
      </c>
      <c r="I201" s="17">
        <v>4.1</v>
      </c>
      <c r="J201" s="23">
        <v>17.5</v>
      </c>
      <c r="K201" s="23">
        <v>3.1</v>
      </c>
      <c r="L201" s="23">
        <v>1.4</v>
      </c>
      <c r="M201" s="23">
        <v>5.8</v>
      </c>
      <c r="N201" s="23">
        <v>0.08</v>
      </c>
      <c r="O201" s="23">
        <v>0</v>
      </c>
      <c r="P201" s="23">
        <v>0</v>
      </c>
      <c r="Q201" s="23">
        <v>0</v>
      </c>
      <c r="R201" s="23">
        <v>0</v>
      </c>
      <c r="S201" s="23">
        <v>1</v>
      </c>
    </row>
    <row r="202" spans="1:19" ht="12.75">
      <c r="A202" s="11"/>
      <c r="B202" s="18" t="s">
        <v>34</v>
      </c>
      <c r="C202" s="18"/>
      <c r="D202" s="15">
        <v>3</v>
      </c>
      <c r="E202" s="15">
        <v>3</v>
      </c>
      <c r="F202" s="15">
        <v>0.17</v>
      </c>
      <c r="G202" s="15">
        <v>0</v>
      </c>
      <c r="H202" s="17">
        <v>0.8</v>
      </c>
      <c r="I202" s="17">
        <v>3.7</v>
      </c>
      <c r="J202" s="15">
        <v>31.5</v>
      </c>
      <c r="K202" s="15">
        <v>0.72</v>
      </c>
      <c r="L202" s="15">
        <v>1.8</v>
      </c>
      <c r="M202" s="15">
        <v>2.4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1.6</v>
      </c>
    </row>
    <row r="203" spans="1:19" ht="12.75">
      <c r="A203" s="11"/>
      <c r="B203" s="37" t="s">
        <v>35</v>
      </c>
      <c r="C203" s="18"/>
      <c r="D203" s="15">
        <v>5</v>
      </c>
      <c r="E203" s="15">
        <v>5</v>
      </c>
      <c r="F203" s="15">
        <v>0</v>
      </c>
      <c r="G203" s="15">
        <v>5</v>
      </c>
      <c r="H203" s="17">
        <v>0</v>
      </c>
      <c r="I203" s="17">
        <v>44.95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</row>
    <row r="204" spans="1:19" ht="12.75">
      <c r="A204" s="11"/>
      <c r="B204" s="18" t="s">
        <v>28</v>
      </c>
      <c r="C204" s="18"/>
      <c r="D204" s="15">
        <v>2.5</v>
      </c>
      <c r="E204" s="15">
        <v>2.5</v>
      </c>
      <c r="F204" s="15">
        <v>0</v>
      </c>
      <c r="G204" s="15">
        <v>0</v>
      </c>
      <c r="H204" s="17">
        <v>2.5</v>
      </c>
      <c r="I204" s="17">
        <v>9.5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</row>
    <row r="205" spans="1:19" ht="12.75">
      <c r="A205" s="11"/>
      <c r="B205" s="18" t="s">
        <v>46</v>
      </c>
      <c r="C205" s="18"/>
      <c r="D205" s="15">
        <v>2.5</v>
      </c>
      <c r="E205" s="15">
        <v>2.5</v>
      </c>
      <c r="F205" s="15">
        <v>0</v>
      </c>
      <c r="G205" s="15">
        <v>0</v>
      </c>
      <c r="H205" s="17">
        <v>0</v>
      </c>
      <c r="I205" s="17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</row>
    <row r="206" spans="1:19" ht="12.75">
      <c r="A206" s="11"/>
      <c r="B206" s="27" t="s">
        <v>50</v>
      </c>
      <c r="C206" s="27"/>
      <c r="D206" s="23">
        <v>5</v>
      </c>
      <c r="E206" s="23">
        <v>5</v>
      </c>
      <c r="F206" s="23">
        <v>0.7</v>
      </c>
      <c r="G206" s="23">
        <v>0.8</v>
      </c>
      <c r="H206" s="23">
        <v>0.1</v>
      </c>
      <c r="I206" s="23">
        <v>12</v>
      </c>
      <c r="J206" s="23">
        <v>6.3</v>
      </c>
      <c r="K206" s="23">
        <v>5</v>
      </c>
      <c r="L206" s="23">
        <v>0.4</v>
      </c>
      <c r="M206" s="23">
        <v>3.5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</row>
    <row r="207" spans="1:19" ht="12.75">
      <c r="A207" s="11"/>
      <c r="B207" s="18" t="s">
        <v>41</v>
      </c>
      <c r="C207" s="18"/>
      <c r="D207" s="15">
        <v>200</v>
      </c>
      <c r="E207" s="15">
        <v>200</v>
      </c>
      <c r="F207" s="15">
        <v>0</v>
      </c>
      <c r="G207" s="15">
        <v>0</v>
      </c>
      <c r="H207" s="16">
        <v>0</v>
      </c>
      <c r="I207" s="16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</row>
    <row r="208" spans="1:19" ht="25.5">
      <c r="A208" s="11" t="s">
        <v>70</v>
      </c>
      <c r="B208" s="5" t="s">
        <v>167</v>
      </c>
      <c r="C208" s="5" t="s">
        <v>166</v>
      </c>
      <c r="D208" s="23"/>
      <c r="E208" s="3"/>
      <c r="F208" s="3">
        <v>9.4</v>
      </c>
      <c r="G208" s="3">
        <v>11.33</v>
      </c>
      <c r="H208" s="3">
        <v>15.22</v>
      </c>
      <c r="I208" s="3">
        <v>203.14</v>
      </c>
      <c r="J208" s="3">
        <v>240.3</v>
      </c>
      <c r="K208" s="3">
        <v>21.21</v>
      </c>
      <c r="L208" s="3">
        <v>21.79</v>
      </c>
      <c r="M208" s="3">
        <v>104.6</v>
      </c>
      <c r="N208" s="3">
        <v>1.54</v>
      </c>
      <c r="O208" s="3">
        <v>0</v>
      </c>
      <c r="P208" s="3">
        <v>0.015</v>
      </c>
      <c r="Q208" s="3">
        <v>0.08</v>
      </c>
      <c r="R208" s="3">
        <v>2.23</v>
      </c>
      <c r="S208" s="3">
        <v>4.4</v>
      </c>
    </row>
    <row r="209" spans="1:19" ht="12.75">
      <c r="A209" s="11"/>
      <c r="B209" s="27" t="s">
        <v>67</v>
      </c>
      <c r="C209" s="18"/>
      <c r="D209" s="21">
        <v>38</v>
      </c>
      <c r="E209" s="21">
        <v>38</v>
      </c>
      <c r="F209" s="21">
        <v>7.07</v>
      </c>
      <c r="G209" s="21">
        <v>6.08</v>
      </c>
      <c r="H209" s="21">
        <v>0</v>
      </c>
      <c r="I209" s="21">
        <v>83</v>
      </c>
      <c r="J209" s="21">
        <v>123.5</v>
      </c>
      <c r="K209" s="21">
        <v>3.42</v>
      </c>
      <c r="L209" s="21">
        <v>8.36</v>
      </c>
      <c r="M209" s="21">
        <v>71.44</v>
      </c>
      <c r="N209" s="21">
        <v>1.03</v>
      </c>
      <c r="O209" s="21">
        <v>0</v>
      </c>
      <c r="P209" s="21">
        <v>0</v>
      </c>
      <c r="Q209" s="21">
        <v>0.08</v>
      </c>
      <c r="R209" s="21">
        <v>1.78</v>
      </c>
      <c r="S209" s="21">
        <v>0</v>
      </c>
    </row>
    <row r="210" spans="1:19" ht="12.75">
      <c r="A210" s="11"/>
      <c r="B210" s="41" t="s">
        <v>43</v>
      </c>
      <c r="C210" s="18"/>
      <c r="D210" s="21">
        <v>38</v>
      </c>
      <c r="E210" s="21">
        <v>38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</row>
    <row r="211" spans="1:19" ht="12.75">
      <c r="A211" s="11"/>
      <c r="B211" s="65" t="s">
        <v>49</v>
      </c>
      <c r="C211" s="14"/>
      <c r="D211" s="21">
        <v>5</v>
      </c>
      <c r="E211" s="21">
        <v>5</v>
      </c>
      <c r="F211" s="15">
        <v>0.7</v>
      </c>
      <c r="G211" s="15">
        <v>0.8</v>
      </c>
      <c r="H211" s="15">
        <v>4.5</v>
      </c>
      <c r="I211" s="15">
        <v>23.6</v>
      </c>
      <c r="J211" s="17">
        <v>11.45</v>
      </c>
      <c r="K211" s="15">
        <v>2.35</v>
      </c>
      <c r="L211" s="15">
        <v>3.15</v>
      </c>
      <c r="M211" s="17">
        <v>7.5</v>
      </c>
      <c r="N211" s="15">
        <v>0.15</v>
      </c>
      <c r="O211" s="15">
        <v>0</v>
      </c>
      <c r="P211" s="15">
        <v>0.015</v>
      </c>
      <c r="Q211" s="15">
        <v>0</v>
      </c>
      <c r="R211" s="15">
        <v>0.14</v>
      </c>
      <c r="S211" s="15">
        <v>0</v>
      </c>
    </row>
    <row r="212" spans="1:19" ht="12.75">
      <c r="A212" s="11"/>
      <c r="B212" s="27" t="s">
        <v>31</v>
      </c>
      <c r="C212" s="5"/>
      <c r="D212" s="21">
        <v>21</v>
      </c>
      <c r="E212" s="21">
        <v>18</v>
      </c>
      <c r="F212" s="21">
        <v>0.28</v>
      </c>
      <c r="G212" s="21">
        <v>0</v>
      </c>
      <c r="H212" s="21">
        <v>1.64</v>
      </c>
      <c r="I212" s="21">
        <v>8.2</v>
      </c>
      <c r="J212" s="21">
        <v>35</v>
      </c>
      <c r="K212" s="21">
        <v>6.2</v>
      </c>
      <c r="L212" s="21">
        <v>2.8</v>
      </c>
      <c r="M212" s="21">
        <v>11.6</v>
      </c>
      <c r="N212" s="21">
        <v>0.16</v>
      </c>
      <c r="O212" s="21">
        <v>0</v>
      </c>
      <c r="P212" s="21">
        <v>0</v>
      </c>
      <c r="Q212" s="21">
        <v>0</v>
      </c>
      <c r="R212" s="21">
        <v>0.04</v>
      </c>
      <c r="S212" s="21">
        <v>2</v>
      </c>
    </row>
    <row r="213" spans="1:19" ht="12.75">
      <c r="A213" s="11"/>
      <c r="B213" s="27" t="s">
        <v>32</v>
      </c>
      <c r="C213" s="23"/>
      <c r="D213" s="21">
        <v>6</v>
      </c>
      <c r="E213" s="21">
        <v>6</v>
      </c>
      <c r="F213" s="21">
        <v>0</v>
      </c>
      <c r="G213" s="21">
        <v>3</v>
      </c>
      <c r="H213" s="21">
        <v>0</v>
      </c>
      <c r="I213" s="21">
        <v>26.97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</row>
    <row r="214" spans="1:19" ht="12.75">
      <c r="A214" s="11"/>
      <c r="B214" s="27" t="s">
        <v>69</v>
      </c>
      <c r="C214" s="23"/>
      <c r="D214" s="21">
        <v>7.8</v>
      </c>
      <c r="E214" s="21">
        <v>7.8</v>
      </c>
      <c r="F214" s="21">
        <v>0.41</v>
      </c>
      <c r="G214" s="21">
        <v>0</v>
      </c>
      <c r="H214" s="21">
        <v>2.76</v>
      </c>
      <c r="I214" s="21">
        <v>13.36</v>
      </c>
      <c r="J214" s="21">
        <v>7.04</v>
      </c>
      <c r="K214" s="21">
        <v>4.6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0.05</v>
      </c>
      <c r="S214" s="21">
        <v>0</v>
      </c>
    </row>
    <row r="215" spans="1:19" ht="12.75">
      <c r="A215" s="11"/>
      <c r="B215" s="27" t="s">
        <v>50</v>
      </c>
      <c r="C215" s="27"/>
      <c r="D215" s="23">
        <v>13</v>
      </c>
      <c r="E215" s="23">
        <v>13</v>
      </c>
      <c r="F215" s="23">
        <v>0.7</v>
      </c>
      <c r="G215" s="23">
        <v>0.8</v>
      </c>
      <c r="H215" s="23">
        <v>0.1</v>
      </c>
      <c r="I215" s="23">
        <v>12</v>
      </c>
      <c r="J215" s="23">
        <v>6.3</v>
      </c>
      <c r="K215" s="23">
        <v>5</v>
      </c>
      <c r="L215" s="23">
        <v>0.4</v>
      </c>
      <c r="M215" s="23">
        <v>3.5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</row>
    <row r="216" spans="1:19" ht="12.75">
      <c r="A216" s="11"/>
      <c r="B216" s="27" t="s">
        <v>46</v>
      </c>
      <c r="C216" s="23"/>
      <c r="D216" s="21">
        <v>2</v>
      </c>
      <c r="E216" s="21">
        <v>2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</row>
    <row r="217" spans="1:19" ht="12.75">
      <c r="A217" s="19"/>
      <c r="B217" s="65" t="s">
        <v>164</v>
      </c>
      <c r="C217" s="5"/>
      <c r="D217" s="28">
        <v>2</v>
      </c>
      <c r="E217" s="28">
        <v>2</v>
      </c>
      <c r="F217" s="15">
        <v>0.17</v>
      </c>
      <c r="G217" s="15">
        <v>0</v>
      </c>
      <c r="H217" s="17">
        <v>0.8</v>
      </c>
      <c r="I217" s="17">
        <v>3.7</v>
      </c>
      <c r="J217" s="15">
        <v>31.5</v>
      </c>
      <c r="K217" s="15">
        <v>0.72</v>
      </c>
      <c r="L217" s="15">
        <v>1.8</v>
      </c>
      <c r="M217" s="15">
        <v>2.4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1.6</v>
      </c>
    </row>
    <row r="218" spans="1:19" ht="12.75">
      <c r="A218" s="11" t="s">
        <v>141</v>
      </c>
      <c r="B218" s="5" t="s">
        <v>142</v>
      </c>
      <c r="C218" s="5">
        <v>150</v>
      </c>
      <c r="D218" s="15"/>
      <c r="E218" s="15"/>
      <c r="F218" s="3">
        <f>F219+F221+F227</f>
        <v>8.57</v>
      </c>
      <c r="G218" s="3">
        <f aca="true" t="shared" si="21" ref="G218:S218">G219+G221+G227</f>
        <v>0.24</v>
      </c>
      <c r="H218" s="3">
        <f t="shared" si="21"/>
        <v>48.483999999999995</v>
      </c>
      <c r="I218" s="3">
        <f t="shared" si="21"/>
        <v>225.28000000000003</v>
      </c>
      <c r="J218" s="3">
        <f t="shared" si="21"/>
        <v>18.8</v>
      </c>
      <c r="K218" s="3">
        <f t="shared" si="21"/>
        <v>6.8</v>
      </c>
      <c r="L218" s="3">
        <f t="shared" si="21"/>
        <v>8.2</v>
      </c>
      <c r="M218" s="3">
        <f t="shared" si="21"/>
        <v>184.08</v>
      </c>
      <c r="N218" s="3">
        <f t="shared" si="21"/>
        <v>4.346</v>
      </c>
      <c r="O218" s="3">
        <f t="shared" si="21"/>
        <v>0</v>
      </c>
      <c r="P218" s="3">
        <f t="shared" si="21"/>
        <v>0</v>
      </c>
      <c r="Q218" s="3">
        <f t="shared" si="21"/>
        <v>0</v>
      </c>
      <c r="R218" s="3">
        <f t="shared" si="21"/>
        <v>0</v>
      </c>
      <c r="S218" s="3">
        <f t="shared" si="21"/>
        <v>0</v>
      </c>
    </row>
    <row r="219" spans="1:19" ht="12.75">
      <c r="A219" s="11"/>
      <c r="B219" s="37" t="s">
        <v>44</v>
      </c>
      <c r="C219" s="18"/>
      <c r="D219" s="15">
        <v>58</v>
      </c>
      <c r="E219" s="15">
        <v>58</v>
      </c>
      <c r="F219" s="38">
        <f>12.5*E219/100</f>
        <v>7.25</v>
      </c>
      <c r="G219" s="38">
        <v>0</v>
      </c>
      <c r="H219" s="38">
        <f>71.8*E219/100</f>
        <v>41.644</v>
      </c>
      <c r="I219" s="38">
        <f>326*E219/100</f>
        <v>189.08</v>
      </c>
      <c r="J219" s="46">
        <v>0</v>
      </c>
      <c r="K219" s="38">
        <v>0</v>
      </c>
      <c r="L219" s="46">
        <v>0</v>
      </c>
      <c r="M219" s="38">
        <f>276*E219/100</f>
        <v>160.08</v>
      </c>
      <c r="N219" s="38">
        <f>6.7*E219/100</f>
        <v>3.886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</row>
    <row r="220" spans="1:19" ht="12.75">
      <c r="A220" s="11"/>
      <c r="B220" s="18" t="s">
        <v>35</v>
      </c>
      <c r="C220" s="18"/>
      <c r="D220" s="15">
        <v>5</v>
      </c>
      <c r="E220" s="15">
        <v>5</v>
      </c>
      <c r="F220" s="15">
        <f>72.5*D220/100</f>
        <v>3.625</v>
      </c>
      <c r="G220" s="15">
        <f>1.3*D220/100</f>
        <v>0.065</v>
      </c>
      <c r="H220" s="15">
        <f>661*D220/100</f>
        <v>33.05</v>
      </c>
      <c r="I220" s="15">
        <f>23*D220/100</f>
        <v>1.15</v>
      </c>
      <c r="J220" s="17">
        <f>22*D220/100</f>
        <v>1.1</v>
      </c>
      <c r="K220" s="15">
        <f>3*D220/100</f>
        <v>0.15</v>
      </c>
      <c r="L220" s="17">
        <f>19*D220/100</f>
        <v>0.95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38">
        <v>0</v>
      </c>
    </row>
    <row r="221" spans="1:19" ht="12.75">
      <c r="A221" s="11"/>
      <c r="B221" s="37" t="s">
        <v>46</v>
      </c>
      <c r="C221" s="14"/>
      <c r="D221" s="15">
        <v>1.5</v>
      </c>
      <c r="E221" s="15">
        <v>1.5</v>
      </c>
      <c r="F221" s="38">
        <v>0</v>
      </c>
      <c r="G221" s="38">
        <v>0</v>
      </c>
      <c r="H221" s="38">
        <v>0</v>
      </c>
      <c r="I221" s="38">
        <v>0</v>
      </c>
      <c r="J221" s="46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</row>
    <row r="222" spans="1:19" ht="12.75">
      <c r="A222" s="11" t="s">
        <v>74</v>
      </c>
      <c r="B222" s="5" t="s">
        <v>75</v>
      </c>
      <c r="C222" s="39">
        <v>200</v>
      </c>
      <c r="D222" s="23"/>
      <c r="E222" s="2"/>
      <c r="F222" s="3">
        <f aca="true" t="shared" si="22" ref="F222:S222">SUM(F223:F225)</f>
        <v>0.1</v>
      </c>
      <c r="G222" s="3">
        <f t="shared" si="22"/>
        <v>0</v>
      </c>
      <c r="H222" s="3">
        <f t="shared" si="22"/>
        <v>15</v>
      </c>
      <c r="I222" s="3">
        <f t="shared" si="22"/>
        <v>57.699999999999996</v>
      </c>
      <c r="J222" s="3">
        <f t="shared" si="22"/>
        <v>12.9</v>
      </c>
      <c r="K222" s="3">
        <f t="shared" si="22"/>
        <v>2.9</v>
      </c>
      <c r="L222" s="3">
        <f t="shared" si="22"/>
        <v>2.2</v>
      </c>
      <c r="M222" s="3">
        <f t="shared" si="22"/>
        <v>4.12</v>
      </c>
      <c r="N222" s="3">
        <f t="shared" si="22"/>
        <v>0.4</v>
      </c>
      <c r="O222" s="3">
        <f t="shared" si="22"/>
        <v>0</v>
      </c>
      <c r="P222" s="3">
        <f t="shared" si="22"/>
        <v>0</v>
      </c>
      <c r="Q222" s="3">
        <f t="shared" si="22"/>
        <v>0</v>
      </c>
      <c r="R222" s="32">
        <f t="shared" si="22"/>
        <v>0</v>
      </c>
      <c r="S222" s="3">
        <f t="shared" si="22"/>
        <v>0</v>
      </c>
    </row>
    <row r="223" spans="1:19" ht="12.75">
      <c r="A223" s="11"/>
      <c r="B223" s="13" t="s">
        <v>38</v>
      </c>
      <c r="C223" s="23"/>
      <c r="D223" s="33">
        <v>50</v>
      </c>
      <c r="E223" s="33">
        <v>50</v>
      </c>
      <c r="F223" s="8">
        <v>0.1</v>
      </c>
      <c r="G223" s="8">
        <v>0</v>
      </c>
      <c r="H223" s="8">
        <v>0</v>
      </c>
      <c r="I223" s="8">
        <v>0.8</v>
      </c>
      <c r="J223" s="9">
        <v>12.4</v>
      </c>
      <c r="K223" s="8">
        <v>2.5</v>
      </c>
      <c r="L223" s="8">
        <v>2.2</v>
      </c>
      <c r="M223" s="9">
        <v>4.12</v>
      </c>
      <c r="N223" s="8">
        <v>0.4</v>
      </c>
      <c r="O223" s="8">
        <v>0</v>
      </c>
      <c r="P223" s="8">
        <v>0</v>
      </c>
      <c r="Q223" s="8">
        <v>0</v>
      </c>
      <c r="R223" s="34">
        <v>0</v>
      </c>
      <c r="S223" s="8">
        <v>0</v>
      </c>
    </row>
    <row r="224" spans="1:19" ht="12.75">
      <c r="A224" s="11"/>
      <c r="B224" s="13" t="s">
        <v>28</v>
      </c>
      <c r="C224" s="23"/>
      <c r="D224" s="33">
        <v>15</v>
      </c>
      <c r="E224" s="33">
        <v>15</v>
      </c>
      <c r="F224" s="8">
        <v>0</v>
      </c>
      <c r="G224" s="8">
        <v>0</v>
      </c>
      <c r="H224" s="8">
        <v>15</v>
      </c>
      <c r="I224" s="8">
        <v>56.9</v>
      </c>
      <c r="J224" s="9">
        <v>0.5</v>
      </c>
      <c r="K224" s="8">
        <v>0.4</v>
      </c>
      <c r="L224" s="8">
        <v>0</v>
      </c>
      <c r="M224" s="9">
        <v>0</v>
      </c>
      <c r="N224" s="8">
        <v>0</v>
      </c>
      <c r="O224" s="8">
        <v>0</v>
      </c>
      <c r="P224" s="8">
        <v>0</v>
      </c>
      <c r="Q224" s="8">
        <v>0</v>
      </c>
      <c r="R224" s="34">
        <v>0</v>
      </c>
      <c r="S224" s="8">
        <v>0</v>
      </c>
    </row>
    <row r="225" spans="1:19" ht="12.75">
      <c r="A225" s="11"/>
      <c r="B225" s="13" t="s">
        <v>33</v>
      </c>
      <c r="C225" s="23"/>
      <c r="D225" s="33">
        <v>150</v>
      </c>
      <c r="E225" s="33">
        <v>150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34">
        <v>0</v>
      </c>
      <c r="S225" s="8">
        <v>0</v>
      </c>
    </row>
    <row r="226" spans="1:19" ht="12.75">
      <c r="A226" s="11" t="s">
        <v>23</v>
      </c>
      <c r="B226" s="5" t="s">
        <v>163</v>
      </c>
      <c r="C226" s="5">
        <v>20</v>
      </c>
      <c r="D226" s="8">
        <v>20</v>
      </c>
      <c r="E226" s="38">
        <v>30</v>
      </c>
      <c r="F226" s="3">
        <f>7.7*E226/100</f>
        <v>2.31</v>
      </c>
      <c r="G226" s="3">
        <v>5.4</v>
      </c>
      <c r="H226" s="3">
        <f>49.8*E226/100</f>
        <v>14.94</v>
      </c>
      <c r="I226" s="3">
        <f>262*E226/100</f>
        <v>78.6</v>
      </c>
      <c r="J226" s="3">
        <f>127*E226/100</f>
        <v>38.1</v>
      </c>
      <c r="K226" s="3">
        <f>26*E226/100</f>
        <v>7.8</v>
      </c>
      <c r="L226" s="3">
        <f>35*E226/100</f>
        <v>10.5</v>
      </c>
      <c r="M226" s="3">
        <f>83*E226/100</f>
        <v>24.9</v>
      </c>
      <c r="N226" s="3">
        <f>1.6*E226/100</f>
        <v>0.48</v>
      </c>
      <c r="O226" s="3">
        <v>0</v>
      </c>
      <c r="P226" s="3">
        <v>0</v>
      </c>
      <c r="Q226" s="3">
        <v>0</v>
      </c>
      <c r="R226" s="3">
        <f>1.54*E226/100</f>
        <v>0.462</v>
      </c>
      <c r="S226" s="3">
        <v>0</v>
      </c>
    </row>
    <row r="227" spans="1:19" ht="12.75">
      <c r="A227" s="3" t="s">
        <v>138</v>
      </c>
      <c r="B227" s="5" t="s">
        <v>139</v>
      </c>
      <c r="C227" s="5">
        <v>20</v>
      </c>
      <c r="D227" s="23">
        <v>20</v>
      </c>
      <c r="E227" s="23">
        <v>20</v>
      </c>
      <c r="F227" s="3">
        <f>6.6*E227/100</f>
        <v>1.32</v>
      </c>
      <c r="G227" s="3">
        <f>1.2*E227/100</f>
        <v>0.24</v>
      </c>
      <c r="H227" s="3">
        <f>34.2*E227/100</f>
        <v>6.84</v>
      </c>
      <c r="I227" s="3">
        <f>181*E227/100</f>
        <v>36.2</v>
      </c>
      <c r="J227" s="3">
        <f>94*E227/100</f>
        <v>18.8</v>
      </c>
      <c r="K227" s="3">
        <f>34*E227/100</f>
        <v>6.8</v>
      </c>
      <c r="L227" s="3">
        <f>41*E227/100</f>
        <v>8.2</v>
      </c>
      <c r="M227" s="3">
        <f>120*E227/100</f>
        <v>24</v>
      </c>
      <c r="N227" s="3">
        <f>2.3*E227/100</f>
        <v>0.46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 ht="12.75">
      <c r="A228" s="11"/>
      <c r="B228" s="5"/>
      <c r="C228" s="5"/>
      <c r="D228" s="1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11"/>
      <c r="B229" s="2" t="s">
        <v>162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ht="25.5">
      <c r="A230" s="11" t="s">
        <v>70</v>
      </c>
      <c r="B230" s="5" t="s">
        <v>167</v>
      </c>
      <c r="C230" s="5" t="s">
        <v>166</v>
      </c>
      <c r="D230" s="23"/>
      <c r="E230" s="3"/>
      <c r="F230" s="3">
        <v>9.4</v>
      </c>
      <c r="G230" s="3">
        <v>11.33</v>
      </c>
      <c r="H230" s="3">
        <v>15.22</v>
      </c>
      <c r="I230" s="3">
        <v>203.14</v>
      </c>
      <c r="J230" s="3">
        <v>240.3</v>
      </c>
      <c r="K230" s="3">
        <v>21.21</v>
      </c>
      <c r="L230" s="3">
        <v>21.79</v>
      </c>
      <c r="M230" s="3">
        <v>104.6</v>
      </c>
      <c r="N230" s="3">
        <v>1.54</v>
      </c>
      <c r="O230" s="3">
        <v>0</v>
      </c>
      <c r="P230" s="3">
        <v>0.015</v>
      </c>
      <c r="Q230" s="3">
        <v>0.08</v>
      </c>
      <c r="R230" s="3">
        <v>2.23</v>
      </c>
      <c r="S230" s="3">
        <v>4.4</v>
      </c>
    </row>
    <row r="231" spans="1:19" ht="12.75">
      <c r="A231" s="11"/>
      <c r="B231" s="27" t="s">
        <v>67</v>
      </c>
      <c r="C231" s="18"/>
      <c r="D231" s="21">
        <v>38</v>
      </c>
      <c r="E231" s="21">
        <v>38</v>
      </c>
      <c r="F231" s="21">
        <v>7.07</v>
      </c>
      <c r="G231" s="21">
        <v>6.08</v>
      </c>
      <c r="H231" s="21">
        <v>0</v>
      </c>
      <c r="I231" s="21">
        <v>83</v>
      </c>
      <c r="J231" s="21">
        <v>123.5</v>
      </c>
      <c r="K231" s="21">
        <v>3.42</v>
      </c>
      <c r="L231" s="21">
        <v>8.36</v>
      </c>
      <c r="M231" s="21">
        <v>71.44</v>
      </c>
      <c r="N231" s="21">
        <v>1.03</v>
      </c>
      <c r="O231" s="21">
        <v>0</v>
      </c>
      <c r="P231" s="21">
        <v>0</v>
      </c>
      <c r="Q231" s="21">
        <v>0.08</v>
      </c>
      <c r="R231" s="21">
        <v>1.78</v>
      </c>
      <c r="S231" s="21">
        <v>0</v>
      </c>
    </row>
    <row r="232" spans="1:19" ht="12.75">
      <c r="A232" s="11"/>
      <c r="B232" s="41" t="s">
        <v>43</v>
      </c>
      <c r="C232" s="18"/>
      <c r="D232" s="21">
        <v>38</v>
      </c>
      <c r="E232" s="21">
        <v>38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</row>
    <row r="233" spans="1:19" ht="12.75">
      <c r="A233" s="11"/>
      <c r="B233" s="65" t="s">
        <v>49</v>
      </c>
      <c r="C233" s="14"/>
      <c r="D233" s="21">
        <v>5</v>
      </c>
      <c r="E233" s="21">
        <v>5</v>
      </c>
      <c r="F233" s="15">
        <v>0.7</v>
      </c>
      <c r="G233" s="15">
        <v>0.8</v>
      </c>
      <c r="H233" s="15">
        <v>4.5</v>
      </c>
      <c r="I233" s="15">
        <v>23.6</v>
      </c>
      <c r="J233" s="17">
        <v>11.45</v>
      </c>
      <c r="K233" s="15">
        <v>2.35</v>
      </c>
      <c r="L233" s="15">
        <v>3.15</v>
      </c>
      <c r="M233" s="17">
        <v>7.5</v>
      </c>
      <c r="N233" s="15">
        <v>0.15</v>
      </c>
      <c r="O233" s="15">
        <v>0</v>
      </c>
      <c r="P233" s="15">
        <v>0.015</v>
      </c>
      <c r="Q233" s="15">
        <v>0</v>
      </c>
      <c r="R233" s="15">
        <v>0.14</v>
      </c>
      <c r="S233" s="15">
        <v>0</v>
      </c>
    </row>
    <row r="234" spans="1:19" ht="12.75">
      <c r="A234" s="11"/>
      <c r="B234" s="27" t="s">
        <v>31</v>
      </c>
      <c r="C234" s="5"/>
      <c r="D234" s="21">
        <v>21</v>
      </c>
      <c r="E234" s="21">
        <v>18</v>
      </c>
      <c r="F234" s="21">
        <v>0.28</v>
      </c>
      <c r="G234" s="21">
        <v>0</v>
      </c>
      <c r="H234" s="21">
        <v>1.64</v>
      </c>
      <c r="I234" s="21">
        <v>8.2</v>
      </c>
      <c r="J234" s="21">
        <v>35</v>
      </c>
      <c r="K234" s="21">
        <v>6.2</v>
      </c>
      <c r="L234" s="21">
        <v>2.8</v>
      </c>
      <c r="M234" s="21">
        <v>11.6</v>
      </c>
      <c r="N234" s="21">
        <v>0.16</v>
      </c>
      <c r="O234" s="21">
        <v>0</v>
      </c>
      <c r="P234" s="21">
        <v>0</v>
      </c>
      <c r="Q234" s="21">
        <v>0</v>
      </c>
      <c r="R234" s="21">
        <v>0.04</v>
      </c>
      <c r="S234" s="21">
        <v>2</v>
      </c>
    </row>
    <row r="235" spans="1:19" ht="12.75">
      <c r="A235" s="11"/>
      <c r="B235" s="27" t="s">
        <v>50</v>
      </c>
      <c r="C235" s="27"/>
      <c r="D235" s="23">
        <v>13</v>
      </c>
      <c r="E235" s="23">
        <v>13</v>
      </c>
      <c r="F235" s="23">
        <v>0.7</v>
      </c>
      <c r="G235" s="23">
        <v>0.8</v>
      </c>
      <c r="H235" s="23">
        <v>0.1</v>
      </c>
      <c r="I235" s="23">
        <v>12</v>
      </c>
      <c r="J235" s="23">
        <v>6.3</v>
      </c>
      <c r="K235" s="23">
        <v>5</v>
      </c>
      <c r="L235" s="23">
        <v>0.4</v>
      </c>
      <c r="M235" s="23">
        <v>3.5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</row>
    <row r="236" spans="1:19" ht="12.75">
      <c r="A236" s="11"/>
      <c r="B236" s="27" t="s">
        <v>46</v>
      </c>
      <c r="C236" s="23"/>
      <c r="D236" s="21">
        <v>2</v>
      </c>
      <c r="E236" s="21">
        <v>2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</row>
    <row r="237" spans="1:19" ht="12.75">
      <c r="A237" s="19"/>
      <c r="B237" s="65" t="s">
        <v>164</v>
      </c>
      <c r="C237" s="5"/>
      <c r="D237" s="28">
        <v>2</v>
      </c>
      <c r="E237" s="28">
        <v>2</v>
      </c>
      <c r="F237" s="15">
        <v>0.17</v>
      </c>
      <c r="G237" s="15">
        <v>0</v>
      </c>
      <c r="H237" s="17">
        <v>0.8</v>
      </c>
      <c r="I237" s="17">
        <v>3.7</v>
      </c>
      <c r="J237" s="15">
        <v>31.5</v>
      </c>
      <c r="K237" s="15">
        <v>0.72</v>
      </c>
      <c r="L237" s="15">
        <v>1.8</v>
      </c>
      <c r="M237" s="15">
        <v>2.4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1.6</v>
      </c>
    </row>
    <row r="238" spans="1:19" ht="12.75">
      <c r="A238" s="11" t="s">
        <v>141</v>
      </c>
      <c r="B238" s="5" t="s">
        <v>142</v>
      </c>
      <c r="C238" s="5">
        <v>150</v>
      </c>
      <c r="D238" s="15"/>
      <c r="E238" s="15"/>
      <c r="F238" s="3">
        <f>F239+F241+F247</f>
        <v>8.57</v>
      </c>
      <c r="G238" s="3">
        <f aca="true" t="shared" si="23" ref="G238:S238">G239+G241+G247</f>
        <v>0.24</v>
      </c>
      <c r="H238" s="3">
        <f t="shared" si="23"/>
        <v>48.483999999999995</v>
      </c>
      <c r="I238" s="3">
        <f t="shared" si="23"/>
        <v>225.28000000000003</v>
      </c>
      <c r="J238" s="3">
        <f t="shared" si="23"/>
        <v>18.8</v>
      </c>
      <c r="K238" s="3">
        <f t="shared" si="23"/>
        <v>6.8</v>
      </c>
      <c r="L238" s="3">
        <f t="shared" si="23"/>
        <v>8.2</v>
      </c>
      <c r="M238" s="3">
        <f t="shared" si="23"/>
        <v>184.08</v>
      </c>
      <c r="N238" s="3">
        <f t="shared" si="23"/>
        <v>4.346</v>
      </c>
      <c r="O238" s="3">
        <f t="shared" si="23"/>
        <v>0</v>
      </c>
      <c r="P238" s="3">
        <f t="shared" si="23"/>
        <v>0</v>
      </c>
      <c r="Q238" s="3">
        <f t="shared" si="23"/>
        <v>0</v>
      </c>
      <c r="R238" s="3">
        <f t="shared" si="23"/>
        <v>0</v>
      </c>
      <c r="S238" s="3">
        <f t="shared" si="23"/>
        <v>0</v>
      </c>
    </row>
    <row r="239" spans="1:19" ht="12.75">
      <c r="A239" s="11"/>
      <c r="B239" s="37" t="s">
        <v>44</v>
      </c>
      <c r="C239" s="18"/>
      <c r="D239" s="15">
        <v>58</v>
      </c>
      <c r="E239" s="15">
        <v>58</v>
      </c>
      <c r="F239" s="38">
        <f>12.5*E239/100</f>
        <v>7.25</v>
      </c>
      <c r="G239" s="38">
        <v>0</v>
      </c>
      <c r="H239" s="38">
        <f>71.8*E239/100</f>
        <v>41.644</v>
      </c>
      <c r="I239" s="38">
        <f>326*E239/100</f>
        <v>189.08</v>
      </c>
      <c r="J239" s="46">
        <v>0</v>
      </c>
      <c r="K239" s="38">
        <v>0</v>
      </c>
      <c r="L239" s="46">
        <v>0</v>
      </c>
      <c r="M239" s="38">
        <f>276*E239/100</f>
        <v>160.08</v>
      </c>
      <c r="N239" s="38">
        <f>6.7*E239/100</f>
        <v>3.886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</row>
    <row r="240" spans="1:19" ht="12.75">
      <c r="A240" s="11"/>
      <c r="B240" s="18" t="s">
        <v>35</v>
      </c>
      <c r="C240" s="18"/>
      <c r="D240" s="15">
        <v>5</v>
      </c>
      <c r="E240" s="15">
        <v>5</v>
      </c>
      <c r="F240" s="15">
        <f>72.5*D240/100</f>
        <v>3.625</v>
      </c>
      <c r="G240" s="15">
        <f>1.3*D240/100</f>
        <v>0.065</v>
      </c>
      <c r="H240" s="15">
        <f>661*D240/100</f>
        <v>33.05</v>
      </c>
      <c r="I240" s="15">
        <f>23*D240/100</f>
        <v>1.15</v>
      </c>
      <c r="J240" s="17">
        <f>22*D240/100</f>
        <v>1.1</v>
      </c>
      <c r="K240" s="15">
        <f>3*D240/100</f>
        <v>0.15</v>
      </c>
      <c r="L240" s="17">
        <f>19*D240/100</f>
        <v>0.95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38">
        <v>0</v>
      </c>
    </row>
    <row r="241" spans="1:19" ht="12.75">
      <c r="A241" s="11"/>
      <c r="B241" s="37" t="s">
        <v>46</v>
      </c>
      <c r="C241" s="14"/>
      <c r="D241" s="15">
        <v>1.5</v>
      </c>
      <c r="E241" s="15">
        <v>1.5</v>
      </c>
      <c r="F241" s="38">
        <v>0</v>
      </c>
      <c r="G241" s="38">
        <v>0</v>
      </c>
      <c r="H241" s="38">
        <v>0</v>
      </c>
      <c r="I241" s="38">
        <v>0</v>
      </c>
      <c r="J241" s="46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</row>
    <row r="242" spans="1:19" ht="12.75">
      <c r="A242" s="11" t="s">
        <v>74</v>
      </c>
      <c r="B242" s="5" t="s">
        <v>75</v>
      </c>
      <c r="C242" s="39">
        <v>200</v>
      </c>
      <c r="D242" s="23"/>
      <c r="E242" s="2"/>
      <c r="F242" s="3">
        <f aca="true" t="shared" si="24" ref="F242:S242">SUM(F243:F245)</f>
        <v>0.1</v>
      </c>
      <c r="G242" s="3">
        <f t="shared" si="24"/>
        <v>0</v>
      </c>
      <c r="H242" s="3">
        <f t="shared" si="24"/>
        <v>15</v>
      </c>
      <c r="I242" s="3">
        <f t="shared" si="24"/>
        <v>57.699999999999996</v>
      </c>
      <c r="J242" s="3">
        <f t="shared" si="24"/>
        <v>12.9</v>
      </c>
      <c r="K242" s="3">
        <f t="shared" si="24"/>
        <v>2.9</v>
      </c>
      <c r="L242" s="3">
        <f t="shared" si="24"/>
        <v>2.2</v>
      </c>
      <c r="M242" s="3">
        <f t="shared" si="24"/>
        <v>4.12</v>
      </c>
      <c r="N242" s="3">
        <f t="shared" si="24"/>
        <v>0.4</v>
      </c>
      <c r="O242" s="3">
        <f t="shared" si="24"/>
        <v>0</v>
      </c>
      <c r="P242" s="3">
        <f t="shared" si="24"/>
        <v>0</v>
      </c>
      <c r="Q242" s="3">
        <f t="shared" si="24"/>
        <v>0</v>
      </c>
      <c r="R242" s="32">
        <f t="shared" si="24"/>
        <v>0</v>
      </c>
      <c r="S242" s="3">
        <f t="shared" si="24"/>
        <v>0</v>
      </c>
    </row>
    <row r="243" spans="1:19" ht="12.75">
      <c r="A243" s="11"/>
      <c r="B243" s="13" t="s">
        <v>38</v>
      </c>
      <c r="C243" s="23"/>
      <c r="D243" s="33">
        <v>50</v>
      </c>
      <c r="E243" s="33">
        <v>50</v>
      </c>
      <c r="F243" s="8">
        <v>0.1</v>
      </c>
      <c r="G243" s="8">
        <v>0</v>
      </c>
      <c r="H243" s="8">
        <v>0</v>
      </c>
      <c r="I243" s="8">
        <v>0.8</v>
      </c>
      <c r="J243" s="9">
        <v>12.4</v>
      </c>
      <c r="K243" s="8">
        <v>2.5</v>
      </c>
      <c r="L243" s="8">
        <v>2.2</v>
      </c>
      <c r="M243" s="9">
        <v>4.12</v>
      </c>
      <c r="N243" s="8">
        <v>0.4</v>
      </c>
      <c r="O243" s="8">
        <v>0</v>
      </c>
      <c r="P243" s="8">
        <v>0</v>
      </c>
      <c r="Q243" s="8">
        <v>0</v>
      </c>
      <c r="R243" s="34">
        <v>0</v>
      </c>
      <c r="S243" s="8">
        <v>0</v>
      </c>
    </row>
    <row r="244" spans="1:19" ht="12.75">
      <c r="A244" s="11"/>
      <c r="B244" s="13" t="s">
        <v>28</v>
      </c>
      <c r="C244" s="23"/>
      <c r="D244" s="33">
        <v>15</v>
      </c>
      <c r="E244" s="33">
        <v>15</v>
      </c>
      <c r="F244" s="8">
        <v>0</v>
      </c>
      <c r="G244" s="8">
        <v>0</v>
      </c>
      <c r="H244" s="8">
        <v>15</v>
      </c>
      <c r="I244" s="8">
        <v>56.9</v>
      </c>
      <c r="J244" s="9">
        <v>0.5</v>
      </c>
      <c r="K244" s="8">
        <v>0.4</v>
      </c>
      <c r="L244" s="8">
        <v>0</v>
      </c>
      <c r="M244" s="9">
        <v>0</v>
      </c>
      <c r="N244" s="8">
        <v>0</v>
      </c>
      <c r="O244" s="8">
        <v>0</v>
      </c>
      <c r="P244" s="8">
        <v>0</v>
      </c>
      <c r="Q244" s="8">
        <v>0</v>
      </c>
      <c r="R244" s="34">
        <v>0</v>
      </c>
      <c r="S244" s="8">
        <v>0</v>
      </c>
    </row>
    <row r="245" spans="1:19" ht="12.75">
      <c r="A245" s="11"/>
      <c r="B245" s="13" t="s">
        <v>33</v>
      </c>
      <c r="C245" s="23"/>
      <c r="D245" s="33">
        <v>150</v>
      </c>
      <c r="E245" s="33">
        <v>150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34">
        <v>0</v>
      </c>
      <c r="S245" s="8">
        <v>0</v>
      </c>
    </row>
    <row r="246" spans="1:19" ht="12.75">
      <c r="A246" s="11" t="s">
        <v>23</v>
      </c>
      <c r="B246" s="5" t="s">
        <v>163</v>
      </c>
      <c r="C246" s="5">
        <v>20</v>
      </c>
      <c r="D246" s="8">
        <v>20</v>
      </c>
      <c r="E246" s="38">
        <v>30</v>
      </c>
      <c r="F246" s="3">
        <f>7.7*E246/100</f>
        <v>2.31</v>
      </c>
      <c r="G246" s="3">
        <v>5.4</v>
      </c>
      <c r="H246" s="3">
        <f>49.8*E246/100</f>
        <v>14.94</v>
      </c>
      <c r="I246" s="3">
        <f>262*E246/100</f>
        <v>78.6</v>
      </c>
      <c r="J246" s="3">
        <f>127*E246/100</f>
        <v>38.1</v>
      </c>
      <c r="K246" s="3">
        <f>26*E246/100</f>
        <v>7.8</v>
      </c>
      <c r="L246" s="3">
        <f>35*E246/100</f>
        <v>10.5</v>
      </c>
      <c r="M246" s="3">
        <f>83*E246/100</f>
        <v>24.9</v>
      </c>
      <c r="N246" s="3">
        <f>1.6*E246/100</f>
        <v>0.48</v>
      </c>
      <c r="O246" s="3">
        <v>0</v>
      </c>
      <c r="P246" s="3">
        <v>0</v>
      </c>
      <c r="Q246" s="3">
        <v>0</v>
      </c>
      <c r="R246" s="3">
        <f>1.54*E246/100</f>
        <v>0.462</v>
      </c>
      <c r="S246" s="3">
        <v>0</v>
      </c>
    </row>
    <row r="247" spans="1:19" ht="12.75">
      <c r="A247" s="3" t="s">
        <v>138</v>
      </c>
      <c r="B247" s="5" t="s">
        <v>139</v>
      </c>
      <c r="C247" s="5">
        <v>20</v>
      </c>
      <c r="D247" s="23">
        <v>20</v>
      </c>
      <c r="E247" s="23">
        <v>20</v>
      </c>
      <c r="F247" s="3">
        <f>6.6*E247/100</f>
        <v>1.32</v>
      </c>
      <c r="G247" s="3">
        <f>1.2*E247/100</f>
        <v>0.24</v>
      </c>
      <c r="H247" s="3">
        <f>34.2*E247/100</f>
        <v>6.84</v>
      </c>
      <c r="I247" s="3">
        <f>181*E247/100</f>
        <v>36.2</v>
      </c>
      <c r="J247" s="3">
        <f>94*E247/100</f>
        <v>18.8</v>
      </c>
      <c r="K247" s="3">
        <f>34*E247/100</f>
        <v>6.8</v>
      </c>
      <c r="L247" s="3">
        <f>41*E247/100</f>
        <v>8.2</v>
      </c>
      <c r="M247" s="3">
        <f>120*E247/100</f>
        <v>24</v>
      </c>
      <c r="N247" s="3">
        <f>2.3*E247/100</f>
        <v>0.46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</row>
    <row r="248" spans="1:19" ht="12.75">
      <c r="A248" s="11"/>
      <c r="B248" s="5"/>
      <c r="C248" s="5"/>
      <c r="D248" s="15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11"/>
      <c r="B249" s="2" t="s">
        <v>58</v>
      </c>
      <c r="C249" s="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ht="12.75">
      <c r="A250" s="11"/>
      <c r="B250" s="2" t="s">
        <v>205</v>
      </c>
      <c r="C250" s="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ht="12.75">
      <c r="A251" s="11">
        <v>181</v>
      </c>
      <c r="B251" s="3" t="s">
        <v>197</v>
      </c>
      <c r="C251" s="32">
        <v>220</v>
      </c>
      <c r="D251" s="6"/>
      <c r="E251" s="6"/>
      <c r="F251" s="3">
        <v>33.9</v>
      </c>
      <c r="G251" s="3">
        <v>36.6</v>
      </c>
      <c r="H251" s="3">
        <v>53</v>
      </c>
      <c r="I251" s="3">
        <v>671.6</v>
      </c>
      <c r="J251" s="3">
        <v>601.7</v>
      </c>
      <c r="K251" s="7">
        <v>73.52</v>
      </c>
      <c r="L251" s="3">
        <v>88.9</v>
      </c>
      <c r="M251" s="3">
        <v>663.2</v>
      </c>
      <c r="N251" s="3">
        <v>7.53</v>
      </c>
      <c r="O251" s="3">
        <v>2.01</v>
      </c>
      <c r="P251" s="3">
        <v>0.2</v>
      </c>
      <c r="Q251" s="3">
        <v>0.3</v>
      </c>
      <c r="R251" s="3">
        <v>8.29</v>
      </c>
      <c r="S251" s="3">
        <v>4.4</v>
      </c>
    </row>
    <row r="252" spans="1:19" ht="12.75">
      <c r="A252" s="11"/>
      <c r="B252" s="37" t="s">
        <v>191</v>
      </c>
      <c r="C252" s="13"/>
      <c r="D252" s="33">
        <v>16</v>
      </c>
      <c r="E252" s="33">
        <v>16</v>
      </c>
      <c r="F252" s="8">
        <v>0</v>
      </c>
      <c r="G252" s="8">
        <v>14</v>
      </c>
      <c r="H252" s="8">
        <v>0</v>
      </c>
      <c r="I252" s="8">
        <v>126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</row>
    <row r="253" spans="1:19" ht="12.75">
      <c r="A253" s="11"/>
      <c r="B253" s="38" t="s">
        <v>35</v>
      </c>
      <c r="C253" s="8"/>
      <c r="D253" s="33">
        <v>10</v>
      </c>
      <c r="E253" s="33">
        <v>10</v>
      </c>
      <c r="F253" s="8">
        <v>0.2</v>
      </c>
      <c r="G253" s="8">
        <v>0</v>
      </c>
      <c r="H253" s="8">
        <v>1.1</v>
      </c>
      <c r="I253" s="8">
        <v>5.6</v>
      </c>
      <c r="J253" s="8">
        <v>40</v>
      </c>
      <c r="K253" s="9">
        <v>10.2</v>
      </c>
      <c r="L253" s="8">
        <v>7.6</v>
      </c>
      <c r="M253" s="8">
        <v>11</v>
      </c>
      <c r="N253" s="8">
        <v>0.24</v>
      </c>
      <c r="O253" s="8">
        <v>1.8</v>
      </c>
      <c r="P253" s="8">
        <v>0.01</v>
      </c>
      <c r="Q253" s="8">
        <v>0.01</v>
      </c>
      <c r="R253" s="8">
        <v>0.2</v>
      </c>
      <c r="S253" s="8">
        <v>1</v>
      </c>
    </row>
    <row r="254" spans="1:19" ht="12.75">
      <c r="A254" s="11"/>
      <c r="B254" s="38" t="s">
        <v>192</v>
      </c>
      <c r="C254" s="8"/>
      <c r="D254" s="33">
        <v>30</v>
      </c>
      <c r="E254" s="33">
        <v>30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9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</row>
    <row r="255" spans="1:19" ht="12.75">
      <c r="A255" s="11"/>
      <c r="B255" s="38" t="s">
        <v>193</v>
      </c>
      <c r="C255" s="8"/>
      <c r="D255" s="33">
        <v>140</v>
      </c>
      <c r="E255" s="33">
        <v>140</v>
      </c>
      <c r="F255" s="8">
        <v>0.2</v>
      </c>
      <c r="G255" s="8">
        <v>0</v>
      </c>
      <c r="H255" s="8">
        <v>1.1</v>
      </c>
      <c r="I255" s="8">
        <v>5.7</v>
      </c>
      <c r="J255" s="8">
        <v>28</v>
      </c>
      <c r="K255" s="9">
        <v>5</v>
      </c>
      <c r="L255" s="8">
        <v>2.2</v>
      </c>
      <c r="M255" s="8">
        <v>9.3</v>
      </c>
      <c r="N255" s="8">
        <v>0.13</v>
      </c>
      <c r="O255" s="8">
        <v>0</v>
      </c>
      <c r="P255" s="8">
        <v>0</v>
      </c>
      <c r="Q255" s="8">
        <v>0</v>
      </c>
      <c r="R255" s="8">
        <v>0.03</v>
      </c>
      <c r="S255" s="8">
        <v>1.6</v>
      </c>
    </row>
    <row r="256" spans="1:19" ht="12.75">
      <c r="A256" s="11"/>
      <c r="B256" s="38" t="s">
        <v>151</v>
      </c>
      <c r="C256" s="8"/>
      <c r="D256" s="33">
        <v>40</v>
      </c>
      <c r="E256" s="33">
        <v>40</v>
      </c>
      <c r="F256" s="8">
        <v>4.9</v>
      </c>
      <c r="G256" s="8">
        <v>0.7</v>
      </c>
      <c r="H256" s="8">
        <v>50</v>
      </c>
      <c r="I256" s="8">
        <v>231</v>
      </c>
      <c r="J256" s="8">
        <v>37.8</v>
      </c>
      <c r="K256" s="9">
        <v>16.8</v>
      </c>
      <c r="L256" s="8">
        <v>16.5</v>
      </c>
      <c r="M256" s="8">
        <v>68</v>
      </c>
      <c r="N256" s="8">
        <v>1.26</v>
      </c>
      <c r="O256" s="8">
        <v>0</v>
      </c>
      <c r="P256" s="8">
        <v>0.06</v>
      </c>
      <c r="Q256" s="8">
        <v>0.02</v>
      </c>
      <c r="R256" s="8">
        <v>1.12</v>
      </c>
      <c r="S256" s="8">
        <v>0</v>
      </c>
    </row>
    <row r="257" spans="1:19" ht="12.75">
      <c r="A257" s="11" t="s">
        <v>23</v>
      </c>
      <c r="B257" s="5" t="s">
        <v>89</v>
      </c>
      <c r="C257" s="5">
        <v>20</v>
      </c>
      <c r="D257" s="8">
        <v>20</v>
      </c>
      <c r="E257" s="38">
        <v>30</v>
      </c>
      <c r="F257" s="3">
        <f>7.7*E257/100</f>
        <v>2.31</v>
      </c>
      <c r="G257" s="3">
        <v>5.4</v>
      </c>
      <c r="H257" s="3">
        <f>49.8*E257/100</f>
        <v>14.94</v>
      </c>
      <c r="I257" s="3">
        <f>262*E257/100</f>
        <v>78.6</v>
      </c>
      <c r="J257" s="3">
        <f>127*E257/100</f>
        <v>38.1</v>
      </c>
      <c r="K257" s="3">
        <f>26*E257/100</f>
        <v>7.8</v>
      </c>
      <c r="L257" s="3">
        <f>35*E257/100</f>
        <v>10.5</v>
      </c>
      <c r="M257" s="3">
        <f>83*E257/100</f>
        <v>24.9</v>
      </c>
      <c r="N257" s="3">
        <f>1.6*E257/100</f>
        <v>0.48</v>
      </c>
      <c r="O257" s="3">
        <v>0</v>
      </c>
      <c r="P257" s="3">
        <v>0</v>
      </c>
      <c r="Q257" s="3">
        <v>0</v>
      </c>
      <c r="R257" s="3">
        <f>1.54*E257/100</f>
        <v>0.462</v>
      </c>
      <c r="S257" s="3">
        <v>0</v>
      </c>
    </row>
    <row r="258" spans="1:19" ht="12.75">
      <c r="A258" s="87" t="s">
        <v>188</v>
      </c>
      <c r="B258" s="85" t="s">
        <v>186</v>
      </c>
      <c r="C258" s="85">
        <v>200</v>
      </c>
      <c r="D258" s="85"/>
      <c r="E258" s="85"/>
      <c r="F258" s="3">
        <f aca="true" t="shared" si="25" ref="F258:S258">SUM(F259:F261)</f>
        <v>0.1</v>
      </c>
      <c r="G258" s="3">
        <f t="shared" si="25"/>
        <v>0</v>
      </c>
      <c r="H258" s="3">
        <f t="shared" si="25"/>
        <v>15</v>
      </c>
      <c r="I258" s="3">
        <f t="shared" si="25"/>
        <v>57.599999999999994</v>
      </c>
      <c r="J258" s="3">
        <f t="shared" si="25"/>
        <v>12.9</v>
      </c>
      <c r="K258" s="3">
        <f t="shared" si="25"/>
        <v>2.9</v>
      </c>
      <c r="L258" s="3">
        <f t="shared" si="25"/>
        <v>2.2</v>
      </c>
      <c r="M258" s="3">
        <f t="shared" si="25"/>
        <v>4.1</v>
      </c>
      <c r="N258" s="3">
        <f t="shared" si="25"/>
        <v>0.4</v>
      </c>
      <c r="O258" s="3">
        <f t="shared" si="25"/>
        <v>0</v>
      </c>
      <c r="P258" s="3">
        <f t="shared" si="25"/>
        <v>0</v>
      </c>
      <c r="Q258" s="3">
        <f t="shared" si="25"/>
        <v>0</v>
      </c>
      <c r="R258" s="3">
        <f t="shared" si="25"/>
        <v>0</v>
      </c>
      <c r="S258" s="3">
        <f t="shared" si="25"/>
        <v>0</v>
      </c>
    </row>
    <row r="259" spans="1:19" ht="12.75">
      <c r="A259" s="87"/>
      <c r="B259" s="88" t="s">
        <v>189</v>
      </c>
      <c r="C259" s="88"/>
      <c r="D259" s="88">
        <v>50</v>
      </c>
      <c r="E259" s="88">
        <v>50</v>
      </c>
      <c r="F259" s="88">
        <v>0.1</v>
      </c>
      <c r="G259" s="88">
        <v>0</v>
      </c>
      <c r="H259" s="88">
        <v>0</v>
      </c>
      <c r="I259" s="88">
        <v>0.8</v>
      </c>
      <c r="J259" s="88">
        <v>12.4</v>
      </c>
      <c r="K259" s="88">
        <v>2.5</v>
      </c>
      <c r="L259" s="88">
        <v>2.2</v>
      </c>
      <c r="M259" s="88">
        <v>4.1</v>
      </c>
      <c r="N259" s="88">
        <v>0.4</v>
      </c>
      <c r="O259" s="88">
        <v>0</v>
      </c>
      <c r="P259" s="88">
        <v>0</v>
      </c>
      <c r="Q259" s="88">
        <v>0</v>
      </c>
      <c r="R259" s="88">
        <v>0</v>
      </c>
      <c r="S259" s="88">
        <v>0</v>
      </c>
    </row>
    <row r="260" spans="1:19" ht="12.75">
      <c r="A260" s="89"/>
      <c r="B260" s="88" t="s">
        <v>28</v>
      </c>
      <c r="C260" s="88"/>
      <c r="D260" s="88">
        <v>15</v>
      </c>
      <c r="E260" s="88">
        <v>15</v>
      </c>
      <c r="F260" s="88">
        <v>0</v>
      </c>
      <c r="G260" s="88">
        <v>0</v>
      </c>
      <c r="H260" s="88">
        <v>15</v>
      </c>
      <c r="I260" s="88">
        <v>56.8</v>
      </c>
      <c r="J260" s="88">
        <v>0.5</v>
      </c>
      <c r="K260" s="88">
        <v>0.4</v>
      </c>
      <c r="L260" s="88">
        <v>0</v>
      </c>
      <c r="M260" s="88">
        <v>0</v>
      </c>
      <c r="N260" s="88">
        <v>0</v>
      </c>
      <c r="O260" s="88">
        <v>0</v>
      </c>
      <c r="P260" s="88">
        <v>0</v>
      </c>
      <c r="Q260" s="88">
        <v>0</v>
      </c>
      <c r="R260" s="88">
        <v>0</v>
      </c>
      <c r="S260" s="88">
        <v>0</v>
      </c>
    </row>
    <row r="261" spans="1:19" ht="12.75">
      <c r="A261" s="89"/>
      <c r="B261" s="88" t="s">
        <v>33</v>
      </c>
      <c r="C261" s="88"/>
      <c r="D261" s="88">
        <v>150</v>
      </c>
      <c r="E261" s="88">
        <v>150</v>
      </c>
      <c r="F261" s="88">
        <v>0</v>
      </c>
      <c r="G261" s="88">
        <v>0</v>
      </c>
      <c r="H261" s="88">
        <v>0</v>
      </c>
      <c r="I261" s="88">
        <v>0</v>
      </c>
      <c r="J261" s="88">
        <v>0</v>
      </c>
      <c r="K261" s="88">
        <v>0</v>
      </c>
      <c r="L261" s="88">
        <v>0</v>
      </c>
      <c r="M261" s="88">
        <v>0</v>
      </c>
      <c r="N261" s="88">
        <v>0</v>
      </c>
      <c r="O261" s="88">
        <v>0</v>
      </c>
      <c r="P261" s="88">
        <v>0</v>
      </c>
      <c r="Q261" s="88">
        <v>0</v>
      </c>
      <c r="R261" s="88">
        <v>0</v>
      </c>
      <c r="S261" s="88">
        <v>0</v>
      </c>
    </row>
    <row r="262" spans="1:19" ht="12.75">
      <c r="A262" s="47"/>
      <c r="B262" s="2" t="s">
        <v>1</v>
      </c>
      <c r="C262" s="35"/>
      <c r="D262" s="3"/>
      <c r="E262" s="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ht="12.75">
      <c r="A263" s="11" t="s">
        <v>4</v>
      </c>
      <c r="B263" s="5" t="s">
        <v>5</v>
      </c>
      <c r="C263" s="5">
        <v>250</v>
      </c>
      <c r="D263" s="26"/>
      <c r="E263" s="6"/>
      <c r="F263" s="3">
        <v>4.39</v>
      </c>
      <c r="G263" s="3">
        <v>5.64</v>
      </c>
      <c r="H263" s="3">
        <v>20.61</v>
      </c>
      <c r="I263" s="3">
        <v>151.05</v>
      </c>
      <c r="J263" s="42">
        <v>475</v>
      </c>
      <c r="K263" s="3">
        <v>29</v>
      </c>
      <c r="L263" s="3">
        <v>35</v>
      </c>
      <c r="M263" s="7">
        <v>88</v>
      </c>
      <c r="N263" s="3">
        <v>2</v>
      </c>
      <c r="O263" s="3">
        <v>0</v>
      </c>
      <c r="P263" s="3">
        <v>0</v>
      </c>
      <c r="Q263" s="3">
        <v>0</v>
      </c>
      <c r="R263" s="3">
        <v>1</v>
      </c>
      <c r="S263" s="3">
        <v>12</v>
      </c>
    </row>
    <row r="264" spans="1:19" ht="12.75">
      <c r="A264" s="11"/>
      <c r="B264" s="18" t="s">
        <v>29</v>
      </c>
      <c r="C264" s="18"/>
      <c r="D264" s="26">
        <v>67</v>
      </c>
      <c r="E264" s="30">
        <v>50</v>
      </c>
      <c r="F264" s="15">
        <v>1</v>
      </c>
      <c r="G264" s="15">
        <v>0.2</v>
      </c>
      <c r="H264" s="15">
        <v>8.65</v>
      </c>
      <c r="I264" s="15">
        <v>40</v>
      </c>
      <c r="J264" s="16">
        <v>284</v>
      </c>
      <c r="K264" s="15">
        <v>5</v>
      </c>
      <c r="L264" s="15">
        <v>11.15</v>
      </c>
      <c r="M264" s="17">
        <v>29</v>
      </c>
      <c r="N264" s="15">
        <v>0.45</v>
      </c>
      <c r="O264" s="15">
        <v>0</v>
      </c>
      <c r="P264" s="15">
        <v>0.06</v>
      </c>
      <c r="Q264" s="15">
        <v>0.035</v>
      </c>
      <c r="R264" s="15">
        <v>0.65</v>
      </c>
      <c r="S264" s="15">
        <v>10</v>
      </c>
    </row>
    <row r="265" spans="1:19" ht="12.75">
      <c r="A265" s="11"/>
      <c r="B265" s="18" t="s">
        <v>45</v>
      </c>
      <c r="C265" s="18"/>
      <c r="D265" s="26">
        <v>20.3</v>
      </c>
      <c r="E265" s="30">
        <v>20.3</v>
      </c>
      <c r="F265" s="15">
        <v>3.09</v>
      </c>
      <c r="G265" s="15">
        <v>0.43</v>
      </c>
      <c r="H265" s="15">
        <v>10</v>
      </c>
      <c r="I265" s="15">
        <v>57.75</v>
      </c>
      <c r="J265" s="17">
        <v>148.4</v>
      </c>
      <c r="K265" s="15">
        <v>18</v>
      </c>
      <c r="L265" s="15">
        <v>17.9</v>
      </c>
      <c r="M265" s="17">
        <v>45.9</v>
      </c>
      <c r="N265" s="15">
        <v>1.42</v>
      </c>
      <c r="O265" s="15">
        <v>0</v>
      </c>
      <c r="P265" s="15">
        <v>0</v>
      </c>
      <c r="Q265" s="15">
        <v>0</v>
      </c>
      <c r="R265" s="15">
        <v>0.48</v>
      </c>
      <c r="S265" s="15">
        <v>0</v>
      </c>
    </row>
    <row r="266" spans="1:19" ht="12.75">
      <c r="A266" s="11"/>
      <c r="B266" s="18" t="s">
        <v>31</v>
      </c>
      <c r="C266" s="18"/>
      <c r="D266" s="26">
        <v>12</v>
      </c>
      <c r="E266" s="30">
        <v>10</v>
      </c>
      <c r="F266" s="15">
        <v>0.14</v>
      </c>
      <c r="G266" s="15">
        <v>0</v>
      </c>
      <c r="H266" s="15">
        <v>0.91</v>
      </c>
      <c r="I266" s="15">
        <v>4.1</v>
      </c>
      <c r="J266" s="23">
        <v>17.5</v>
      </c>
      <c r="K266" s="23">
        <v>3.1</v>
      </c>
      <c r="L266" s="23">
        <v>1.4</v>
      </c>
      <c r="M266" s="23">
        <v>5.8</v>
      </c>
      <c r="N266" s="23">
        <v>0.08</v>
      </c>
      <c r="O266" s="23">
        <v>0</v>
      </c>
      <c r="P266" s="23">
        <v>0</v>
      </c>
      <c r="Q266" s="23">
        <v>0</v>
      </c>
      <c r="R266" s="23">
        <v>0</v>
      </c>
      <c r="S266" s="23">
        <v>1</v>
      </c>
    </row>
    <row r="267" spans="1:19" ht="12.75">
      <c r="A267" s="11"/>
      <c r="B267" s="18" t="s">
        <v>30</v>
      </c>
      <c r="C267" s="18"/>
      <c r="D267" s="26">
        <v>15.8</v>
      </c>
      <c r="E267" s="30">
        <v>12.5</v>
      </c>
      <c r="F267" s="15">
        <v>0.16</v>
      </c>
      <c r="G267" s="15">
        <v>0.01</v>
      </c>
      <c r="H267" s="15">
        <v>1.05</v>
      </c>
      <c r="I267" s="15">
        <v>4.25</v>
      </c>
      <c r="J267" s="16">
        <v>25</v>
      </c>
      <c r="K267" s="15">
        <v>3.37</v>
      </c>
      <c r="L267" s="15">
        <v>4.75</v>
      </c>
      <c r="M267" s="17">
        <v>6.9</v>
      </c>
      <c r="N267" s="15">
        <v>0.08</v>
      </c>
      <c r="O267" s="15">
        <v>0</v>
      </c>
      <c r="P267" s="15">
        <v>0</v>
      </c>
      <c r="Q267" s="15">
        <v>0</v>
      </c>
      <c r="R267" s="15">
        <v>0.13</v>
      </c>
      <c r="S267" s="15">
        <v>1.25</v>
      </c>
    </row>
    <row r="268" spans="1:19" ht="12.75">
      <c r="A268" s="11"/>
      <c r="B268" s="18" t="s">
        <v>32</v>
      </c>
      <c r="C268" s="18"/>
      <c r="D268" s="26">
        <v>5</v>
      </c>
      <c r="E268" s="30">
        <v>5</v>
      </c>
      <c r="F268" s="15">
        <v>0</v>
      </c>
      <c r="G268" s="15">
        <v>5</v>
      </c>
      <c r="H268" s="15">
        <v>0</v>
      </c>
      <c r="I268" s="15">
        <v>44.95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</row>
    <row r="269" spans="1:19" ht="12.75">
      <c r="A269" s="11"/>
      <c r="B269" s="18" t="s">
        <v>46</v>
      </c>
      <c r="C269" s="18"/>
      <c r="D269" s="26">
        <v>2.5</v>
      </c>
      <c r="E269" s="30">
        <v>2.5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</row>
    <row r="270" spans="1:19" ht="12.75">
      <c r="A270" s="11"/>
      <c r="B270" s="18" t="s">
        <v>33</v>
      </c>
      <c r="C270" s="18"/>
      <c r="D270" s="26">
        <v>175</v>
      </c>
      <c r="E270" s="30">
        <v>175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</row>
    <row r="271" spans="1:19" ht="12.75">
      <c r="A271" s="11" t="s">
        <v>176</v>
      </c>
      <c r="B271" s="20" t="s">
        <v>177</v>
      </c>
      <c r="C271" s="50">
        <v>145</v>
      </c>
      <c r="D271" s="68"/>
      <c r="E271" s="22"/>
      <c r="F271" s="22">
        <f>F272+F273+F274+F275+F276</f>
        <v>30.614000000000004</v>
      </c>
      <c r="G271" s="22">
        <f aca="true" t="shared" si="26" ref="G271:S271">G272+G273+G274+G275+G276</f>
        <v>2.8309999999999995</v>
      </c>
      <c r="H271" s="22">
        <f t="shared" si="26"/>
        <v>90.23700000000001</v>
      </c>
      <c r="I271" s="22">
        <f t="shared" si="26"/>
        <v>278.69</v>
      </c>
      <c r="J271" s="22">
        <f t="shared" si="26"/>
        <v>306.49</v>
      </c>
      <c r="K271" s="22">
        <f t="shared" si="26"/>
        <v>19.27</v>
      </c>
      <c r="L271" s="22">
        <f t="shared" si="26"/>
        <v>79.26999999999998</v>
      </c>
      <c r="M271" s="22">
        <f t="shared" si="26"/>
        <v>191.55</v>
      </c>
      <c r="N271" s="22">
        <f t="shared" si="26"/>
        <v>1.891</v>
      </c>
      <c r="O271" s="22">
        <f t="shared" si="26"/>
        <v>55.3</v>
      </c>
      <c r="P271" s="22">
        <f t="shared" si="26"/>
        <v>0.0553</v>
      </c>
      <c r="Q271" s="22">
        <f t="shared" si="26"/>
        <v>0.0553</v>
      </c>
      <c r="R271" s="22">
        <f t="shared" si="26"/>
        <v>8.4992</v>
      </c>
      <c r="S271" s="22">
        <f t="shared" si="26"/>
        <v>1.4220000000000002</v>
      </c>
    </row>
    <row r="272" spans="1:19" ht="12.75">
      <c r="A272" s="11"/>
      <c r="B272" s="41" t="s">
        <v>172</v>
      </c>
      <c r="C272" s="41"/>
      <c r="D272" s="68">
        <v>79</v>
      </c>
      <c r="E272" s="68">
        <v>79</v>
      </c>
      <c r="F272" s="68">
        <f>23.6*E272/100</f>
        <v>18.644000000000002</v>
      </c>
      <c r="G272" s="68">
        <f>1.9*E272/100</f>
        <v>1.501</v>
      </c>
      <c r="H272" s="68">
        <f>0.4*E272/100</f>
        <v>0.316</v>
      </c>
      <c r="I272" s="68">
        <f>113*E272/100</f>
        <v>89.27</v>
      </c>
      <c r="J272" s="68">
        <f>292*E272/100</f>
        <v>230.68</v>
      </c>
      <c r="K272" s="68">
        <f>8*E272/100</f>
        <v>6.32</v>
      </c>
      <c r="L272" s="68">
        <f>86*E272/100</f>
        <v>67.94</v>
      </c>
      <c r="M272" s="68">
        <f>171*E272/100</f>
        <v>135.09</v>
      </c>
      <c r="N272" s="68">
        <f>1.4*E272/100</f>
        <v>1.1059999999999999</v>
      </c>
      <c r="O272" s="68">
        <f>70*E272/100</f>
        <v>55.3</v>
      </c>
      <c r="P272" s="68">
        <f>0.07*E272/100</f>
        <v>0.0553</v>
      </c>
      <c r="Q272" s="68">
        <f>0.07*E272/100</f>
        <v>0.0553</v>
      </c>
      <c r="R272" s="68">
        <f>10.7*E272/100</f>
        <v>8.453</v>
      </c>
      <c r="S272" s="68">
        <f>1.8*E272/100</f>
        <v>1.4220000000000002</v>
      </c>
    </row>
    <row r="273" spans="1:19" ht="12.75">
      <c r="A273" s="11"/>
      <c r="B273" s="13" t="s">
        <v>73</v>
      </c>
      <c r="C273" s="13"/>
      <c r="D273" s="8">
        <v>51</v>
      </c>
      <c r="E273" s="8">
        <v>51</v>
      </c>
      <c r="F273" s="8">
        <f>10.4*E273/100</f>
        <v>5.303999999999999</v>
      </c>
      <c r="G273" s="8">
        <f>1.1*E273/100</f>
        <v>0.561</v>
      </c>
      <c r="H273" s="8">
        <f>69.7*E273/100</f>
        <v>35.547000000000004</v>
      </c>
      <c r="I273" s="8">
        <f>337*E273/100</f>
        <v>171.87</v>
      </c>
      <c r="J273" s="9">
        <f>124*E273/100</f>
        <v>63.24</v>
      </c>
      <c r="K273" s="8">
        <f>18*E273/100</f>
        <v>9.18</v>
      </c>
      <c r="L273" s="8">
        <f>16*E273/100</f>
        <v>8.16</v>
      </c>
      <c r="M273" s="8">
        <f>87*E273/100</f>
        <v>44.37</v>
      </c>
      <c r="N273" s="8">
        <f>1.2*E273/100</f>
        <v>0.612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</row>
    <row r="274" spans="1:19" ht="12.75">
      <c r="A274" s="11"/>
      <c r="B274" s="13" t="s">
        <v>178</v>
      </c>
      <c r="C274" s="13"/>
      <c r="D274" s="23">
        <v>5</v>
      </c>
      <c r="E274" s="23">
        <v>5</v>
      </c>
      <c r="F274" s="23">
        <f>12.7*E274/100</f>
        <v>0.635</v>
      </c>
      <c r="G274" s="23">
        <f>11.5*E274/100</f>
        <v>0.575</v>
      </c>
      <c r="H274" s="23">
        <v>0</v>
      </c>
      <c r="I274" s="23">
        <f>157*E274/100</f>
        <v>7.85</v>
      </c>
      <c r="J274" s="23">
        <f>140*E274/100</f>
        <v>7</v>
      </c>
      <c r="K274" s="23">
        <f>55*E274/100</f>
        <v>2.75</v>
      </c>
      <c r="L274" s="23">
        <f>12*E274/100</f>
        <v>0.6</v>
      </c>
      <c r="M274" s="23">
        <f>192*E274/100</f>
        <v>9.6</v>
      </c>
      <c r="N274" s="23">
        <f>2.5*E274/100</f>
        <v>0.125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</row>
    <row r="275" spans="1:19" ht="12.75">
      <c r="A275" s="19"/>
      <c r="B275" s="48" t="s">
        <v>81</v>
      </c>
      <c r="C275" s="48"/>
      <c r="D275" s="49">
        <v>3</v>
      </c>
      <c r="E275" s="69">
        <v>3</v>
      </c>
      <c r="F275" s="38">
        <f>7.7*E275/100</f>
        <v>0.231</v>
      </c>
      <c r="G275" s="38">
        <f>3*E275/100</f>
        <v>0.09</v>
      </c>
      <c r="H275" s="38">
        <f>49.8*E275/100</f>
        <v>1.4939999999999998</v>
      </c>
      <c r="I275" s="38">
        <f>262*E275/100</f>
        <v>7.86</v>
      </c>
      <c r="J275" s="38">
        <f>127*E275/100</f>
        <v>3.81</v>
      </c>
      <c r="K275" s="38">
        <f>26*E275/100</f>
        <v>0.78</v>
      </c>
      <c r="L275" s="38">
        <f>35*E275/100</f>
        <v>1.05</v>
      </c>
      <c r="M275" s="38">
        <f>83*E275/100</f>
        <v>2.49</v>
      </c>
      <c r="N275" s="38">
        <f>1.6*E275/100</f>
        <v>0.04800000000000001</v>
      </c>
      <c r="O275" s="38">
        <v>0</v>
      </c>
      <c r="P275" s="38">
        <v>0</v>
      </c>
      <c r="Q275" s="38">
        <v>0</v>
      </c>
      <c r="R275" s="38">
        <f>1.54*E275/100</f>
        <v>0.0462</v>
      </c>
      <c r="S275" s="38">
        <v>0</v>
      </c>
    </row>
    <row r="276" spans="1:19" ht="12.75">
      <c r="A276" s="19"/>
      <c r="B276" s="24" t="s">
        <v>76</v>
      </c>
      <c r="C276" s="24"/>
      <c r="D276" s="8">
        <v>8</v>
      </c>
      <c r="E276" s="8">
        <v>8</v>
      </c>
      <c r="F276" s="8">
        <f>72.5*D276/100</f>
        <v>5.8</v>
      </c>
      <c r="G276" s="8">
        <f>1.3*D276/100</f>
        <v>0.10400000000000001</v>
      </c>
      <c r="H276" s="8">
        <f>661*D276/100</f>
        <v>52.88</v>
      </c>
      <c r="I276" s="8">
        <f>23*D276/100</f>
        <v>1.84</v>
      </c>
      <c r="J276" s="9">
        <f>22*D276/100</f>
        <v>1.76</v>
      </c>
      <c r="K276" s="8">
        <f>3*D276/100</f>
        <v>0.24</v>
      </c>
      <c r="L276" s="9">
        <f>19*D276/100</f>
        <v>1.52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38">
        <v>0</v>
      </c>
    </row>
    <row r="277" spans="1:19" ht="12.75">
      <c r="A277" s="19"/>
      <c r="B277" s="24" t="s">
        <v>46</v>
      </c>
      <c r="C277" s="14"/>
      <c r="D277" s="8">
        <v>2</v>
      </c>
      <c r="E277" s="8">
        <v>2</v>
      </c>
      <c r="F277" s="8">
        <v>0</v>
      </c>
      <c r="G277" s="8">
        <v>0</v>
      </c>
      <c r="H277" s="8">
        <v>0</v>
      </c>
      <c r="I277" s="8">
        <v>0</v>
      </c>
      <c r="J277" s="68">
        <v>0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68">
        <v>0</v>
      </c>
      <c r="S277" s="68">
        <v>0</v>
      </c>
    </row>
    <row r="278" spans="1:19" ht="12.75">
      <c r="A278" s="11"/>
      <c r="B278" s="13" t="s">
        <v>35</v>
      </c>
      <c r="C278" s="13"/>
      <c r="D278" s="23">
        <v>5</v>
      </c>
      <c r="E278" s="23">
        <v>5</v>
      </c>
      <c r="F278" s="8">
        <f>72.5*D278/100</f>
        <v>3.625</v>
      </c>
      <c r="G278" s="8">
        <f>1.3*D278/100</f>
        <v>0.065</v>
      </c>
      <c r="H278" s="8">
        <f>661*D278/100</f>
        <v>33.05</v>
      </c>
      <c r="I278" s="8">
        <f>23*D278/100</f>
        <v>1.15</v>
      </c>
      <c r="J278" s="9">
        <f>22*D278/100</f>
        <v>1.1</v>
      </c>
      <c r="K278" s="8">
        <f>3*D278/100</f>
        <v>0.15</v>
      </c>
      <c r="L278" s="9">
        <f>19*D278/100</f>
        <v>0.95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38">
        <v>0</v>
      </c>
    </row>
    <row r="279" spans="1:19" ht="12.75">
      <c r="A279" s="19"/>
      <c r="B279" s="13" t="s">
        <v>31</v>
      </c>
      <c r="C279" s="24"/>
      <c r="D279" s="8">
        <v>12</v>
      </c>
      <c r="E279" s="8">
        <v>10</v>
      </c>
      <c r="F279" s="8">
        <v>0</v>
      </c>
      <c r="G279" s="8">
        <v>0</v>
      </c>
      <c r="H279" s="8">
        <v>0.7</v>
      </c>
      <c r="I279" s="8">
        <v>2.8</v>
      </c>
      <c r="J279" s="8">
        <v>0.02</v>
      </c>
      <c r="K279" s="8">
        <v>0.01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</row>
    <row r="280" spans="1:19" ht="12.75">
      <c r="A280" s="11" t="s">
        <v>74</v>
      </c>
      <c r="B280" s="5" t="s">
        <v>75</v>
      </c>
      <c r="C280" s="39">
        <v>200</v>
      </c>
      <c r="D280" s="23"/>
      <c r="E280" s="2"/>
      <c r="F280" s="3">
        <f aca="true" t="shared" si="27" ref="F280:S280">SUM(F281:F283)</f>
        <v>0.1</v>
      </c>
      <c r="G280" s="3">
        <f t="shared" si="27"/>
        <v>0</v>
      </c>
      <c r="H280" s="3">
        <f t="shared" si="27"/>
        <v>15</v>
      </c>
      <c r="I280" s="3">
        <f t="shared" si="27"/>
        <v>57.699999999999996</v>
      </c>
      <c r="J280" s="3">
        <f t="shared" si="27"/>
        <v>12.9</v>
      </c>
      <c r="K280" s="3">
        <f t="shared" si="27"/>
        <v>2.9</v>
      </c>
      <c r="L280" s="3">
        <f t="shared" si="27"/>
        <v>2.2</v>
      </c>
      <c r="M280" s="3">
        <f t="shared" si="27"/>
        <v>4.12</v>
      </c>
      <c r="N280" s="3">
        <f t="shared" si="27"/>
        <v>0.4</v>
      </c>
      <c r="O280" s="3">
        <f t="shared" si="27"/>
        <v>0</v>
      </c>
      <c r="P280" s="3">
        <f t="shared" si="27"/>
        <v>0</v>
      </c>
      <c r="Q280" s="3">
        <f t="shared" si="27"/>
        <v>0</v>
      </c>
      <c r="R280" s="32">
        <f t="shared" si="27"/>
        <v>0</v>
      </c>
      <c r="S280" s="3">
        <f t="shared" si="27"/>
        <v>0</v>
      </c>
    </row>
    <row r="281" spans="1:19" ht="12.75">
      <c r="A281" s="11"/>
      <c r="B281" s="13" t="s">
        <v>38</v>
      </c>
      <c r="C281" s="23"/>
      <c r="D281" s="33">
        <v>50</v>
      </c>
      <c r="E281" s="33">
        <v>50</v>
      </c>
      <c r="F281" s="8">
        <v>0.1</v>
      </c>
      <c r="G281" s="8">
        <v>0</v>
      </c>
      <c r="H281" s="8">
        <v>0</v>
      </c>
      <c r="I281" s="8">
        <v>0.8</v>
      </c>
      <c r="J281" s="9">
        <v>12.4</v>
      </c>
      <c r="K281" s="8">
        <v>2.5</v>
      </c>
      <c r="L281" s="8">
        <v>2.2</v>
      </c>
      <c r="M281" s="9">
        <v>4.12</v>
      </c>
      <c r="N281" s="8">
        <v>0.4</v>
      </c>
      <c r="O281" s="8">
        <v>0</v>
      </c>
      <c r="P281" s="8">
        <v>0</v>
      </c>
      <c r="Q281" s="8">
        <v>0</v>
      </c>
      <c r="R281" s="34">
        <v>0</v>
      </c>
      <c r="S281" s="8">
        <v>0</v>
      </c>
    </row>
    <row r="282" spans="1:19" ht="12.75">
      <c r="A282" s="11"/>
      <c r="B282" s="13" t="s">
        <v>28</v>
      </c>
      <c r="C282" s="23"/>
      <c r="D282" s="33">
        <v>15</v>
      </c>
      <c r="E282" s="33">
        <v>15</v>
      </c>
      <c r="F282" s="8">
        <v>0</v>
      </c>
      <c r="G282" s="8">
        <v>0</v>
      </c>
      <c r="H282" s="8">
        <v>15</v>
      </c>
      <c r="I282" s="8">
        <v>56.9</v>
      </c>
      <c r="J282" s="9">
        <v>0.5</v>
      </c>
      <c r="K282" s="8">
        <v>0.4</v>
      </c>
      <c r="L282" s="8">
        <v>0</v>
      </c>
      <c r="M282" s="9">
        <v>0</v>
      </c>
      <c r="N282" s="8">
        <v>0</v>
      </c>
      <c r="O282" s="8">
        <v>0</v>
      </c>
      <c r="P282" s="8">
        <v>0</v>
      </c>
      <c r="Q282" s="8">
        <v>0</v>
      </c>
      <c r="R282" s="34">
        <v>0</v>
      </c>
      <c r="S282" s="8">
        <v>0</v>
      </c>
    </row>
    <row r="283" spans="1:19" ht="12.75" customHeight="1">
      <c r="A283" s="11"/>
      <c r="B283" s="13" t="s">
        <v>33</v>
      </c>
      <c r="C283" s="23"/>
      <c r="D283" s="33">
        <v>150</v>
      </c>
      <c r="E283" s="33">
        <v>150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34">
        <v>0</v>
      </c>
      <c r="S283" s="8">
        <v>0</v>
      </c>
    </row>
    <row r="284" spans="1:19" ht="12.75">
      <c r="A284" s="11" t="s">
        <v>23</v>
      </c>
      <c r="B284" s="5" t="s">
        <v>89</v>
      </c>
      <c r="C284" s="5">
        <v>20</v>
      </c>
      <c r="D284" s="8">
        <v>20</v>
      </c>
      <c r="E284" s="38">
        <v>20</v>
      </c>
      <c r="F284" s="3">
        <f>7.7*E284/100</f>
        <v>1.54</v>
      </c>
      <c r="G284" s="3">
        <v>5.4</v>
      </c>
      <c r="H284" s="3">
        <f>49.8*E284/100</f>
        <v>9.96</v>
      </c>
      <c r="I284" s="3">
        <f>262*E284/100</f>
        <v>52.4</v>
      </c>
      <c r="J284" s="3">
        <f>127*E284/100</f>
        <v>25.4</v>
      </c>
      <c r="K284" s="3">
        <f>26*E284/100</f>
        <v>5.2</v>
      </c>
      <c r="L284" s="3">
        <f>35*E284/100</f>
        <v>7</v>
      </c>
      <c r="M284" s="3">
        <f>83*E284/100</f>
        <v>16.6</v>
      </c>
      <c r="N284" s="3">
        <f>1.6*E284/100</f>
        <v>0.32</v>
      </c>
      <c r="O284" s="3">
        <v>0</v>
      </c>
      <c r="P284" s="3">
        <v>0</v>
      </c>
      <c r="Q284" s="3">
        <v>0</v>
      </c>
      <c r="R284" s="3">
        <f>1.54*E284/100</f>
        <v>0.308</v>
      </c>
      <c r="S284" s="3">
        <v>0</v>
      </c>
    </row>
    <row r="285" spans="1:19" ht="12.75">
      <c r="A285" s="3" t="s">
        <v>138</v>
      </c>
      <c r="B285" s="5" t="s">
        <v>139</v>
      </c>
      <c r="C285" s="5">
        <v>20</v>
      </c>
      <c r="D285" s="23">
        <v>20</v>
      </c>
      <c r="E285" s="23">
        <v>20</v>
      </c>
      <c r="F285" s="3">
        <f>6.6*E285/100</f>
        <v>1.32</v>
      </c>
      <c r="G285" s="3">
        <f>1.2*E285/100</f>
        <v>0.24</v>
      </c>
      <c r="H285" s="3">
        <f>34.2*E285/100</f>
        <v>6.84</v>
      </c>
      <c r="I285" s="3">
        <f>181*E285/100</f>
        <v>36.2</v>
      </c>
      <c r="J285" s="3">
        <f>94*E285/100</f>
        <v>18.8</v>
      </c>
      <c r="K285" s="3">
        <f>34*E285/100</f>
        <v>6.8</v>
      </c>
      <c r="L285" s="3">
        <f>41*E285/100</f>
        <v>8.2</v>
      </c>
      <c r="M285" s="3">
        <f>120*E285/100</f>
        <v>24</v>
      </c>
      <c r="N285" s="3">
        <f>2.3*E285/100</f>
        <v>0.46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</row>
    <row r="286" spans="1:20" ht="12.75">
      <c r="A286" s="3"/>
      <c r="B286" s="2" t="s">
        <v>162</v>
      </c>
      <c r="C286" s="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t="s">
        <v>152</v>
      </c>
    </row>
    <row r="287" spans="1:19" ht="12.75">
      <c r="A287" s="11" t="s">
        <v>176</v>
      </c>
      <c r="B287" s="20" t="s">
        <v>177</v>
      </c>
      <c r="C287" s="50">
        <v>145</v>
      </c>
      <c r="D287" s="68"/>
      <c r="E287" s="22"/>
      <c r="F287" s="22">
        <f>F288+F289+F290+F291+F292</f>
        <v>30.614000000000004</v>
      </c>
      <c r="G287" s="22">
        <f aca="true" t="shared" si="28" ref="G287:S287">G288+G289+G290+G291+G292</f>
        <v>2.8309999999999995</v>
      </c>
      <c r="H287" s="22">
        <f t="shared" si="28"/>
        <v>90.23700000000001</v>
      </c>
      <c r="I287" s="22">
        <f t="shared" si="28"/>
        <v>278.69</v>
      </c>
      <c r="J287" s="22">
        <f t="shared" si="28"/>
        <v>306.49</v>
      </c>
      <c r="K287" s="22">
        <f t="shared" si="28"/>
        <v>19.27</v>
      </c>
      <c r="L287" s="22">
        <f t="shared" si="28"/>
        <v>79.26999999999998</v>
      </c>
      <c r="M287" s="22">
        <f t="shared" si="28"/>
        <v>191.55</v>
      </c>
      <c r="N287" s="22">
        <f t="shared" si="28"/>
        <v>1.891</v>
      </c>
      <c r="O287" s="22">
        <f t="shared" si="28"/>
        <v>55.3</v>
      </c>
      <c r="P287" s="22">
        <f t="shared" si="28"/>
        <v>0.0553</v>
      </c>
      <c r="Q287" s="22">
        <f t="shared" si="28"/>
        <v>0.0553</v>
      </c>
      <c r="R287" s="22">
        <f t="shared" si="28"/>
        <v>8.4992</v>
      </c>
      <c r="S287" s="22">
        <f t="shared" si="28"/>
        <v>1.4220000000000002</v>
      </c>
    </row>
    <row r="288" spans="1:19" ht="12.75">
      <c r="A288" s="11"/>
      <c r="B288" s="41" t="s">
        <v>172</v>
      </c>
      <c r="C288" s="41"/>
      <c r="D288" s="68">
        <v>79</v>
      </c>
      <c r="E288" s="68">
        <v>79</v>
      </c>
      <c r="F288" s="68">
        <f>23.6*E288/100</f>
        <v>18.644000000000002</v>
      </c>
      <c r="G288" s="68">
        <f>1.9*E288/100</f>
        <v>1.501</v>
      </c>
      <c r="H288" s="68">
        <f>0.4*E288/100</f>
        <v>0.316</v>
      </c>
      <c r="I288" s="68">
        <f>113*E288/100</f>
        <v>89.27</v>
      </c>
      <c r="J288" s="68">
        <f>292*E288/100</f>
        <v>230.68</v>
      </c>
      <c r="K288" s="68">
        <f>8*E288/100</f>
        <v>6.32</v>
      </c>
      <c r="L288" s="68">
        <f>86*E288/100</f>
        <v>67.94</v>
      </c>
      <c r="M288" s="68">
        <f>171*E288/100</f>
        <v>135.09</v>
      </c>
      <c r="N288" s="68">
        <f>1.4*E288/100</f>
        <v>1.1059999999999999</v>
      </c>
      <c r="O288" s="68">
        <f>70*E288/100</f>
        <v>55.3</v>
      </c>
      <c r="P288" s="68">
        <f>0.07*E288/100</f>
        <v>0.0553</v>
      </c>
      <c r="Q288" s="68">
        <f>0.07*E288/100</f>
        <v>0.0553</v>
      </c>
      <c r="R288" s="68">
        <f>10.7*E288/100</f>
        <v>8.453</v>
      </c>
      <c r="S288" s="68">
        <f>1.8*E288/100</f>
        <v>1.4220000000000002</v>
      </c>
    </row>
    <row r="289" spans="1:19" ht="12.75">
      <c r="A289" s="11"/>
      <c r="B289" s="13" t="s">
        <v>73</v>
      </c>
      <c r="C289" s="13"/>
      <c r="D289" s="8">
        <v>51</v>
      </c>
      <c r="E289" s="8">
        <v>51</v>
      </c>
      <c r="F289" s="8">
        <f>10.4*E289/100</f>
        <v>5.303999999999999</v>
      </c>
      <c r="G289" s="8">
        <f>1.1*E289/100</f>
        <v>0.561</v>
      </c>
      <c r="H289" s="8">
        <f>69.7*E289/100</f>
        <v>35.547000000000004</v>
      </c>
      <c r="I289" s="8">
        <f>337*E289/100</f>
        <v>171.87</v>
      </c>
      <c r="J289" s="9">
        <f>124*E289/100</f>
        <v>63.24</v>
      </c>
      <c r="K289" s="8">
        <f>18*E289/100</f>
        <v>9.18</v>
      </c>
      <c r="L289" s="8">
        <f>16*E289/100</f>
        <v>8.16</v>
      </c>
      <c r="M289" s="8">
        <f>87*E289/100</f>
        <v>44.37</v>
      </c>
      <c r="N289" s="8">
        <f>1.2*E289/100</f>
        <v>0.612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</row>
    <row r="290" spans="1:19" ht="12.75">
      <c r="A290" s="11"/>
      <c r="B290" s="13" t="s">
        <v>178</v>
      </c>
      <c r="C290" s="13"/>
      <c r="D290" s="23">
        <v>5</v>
      </c>
      <c r="E290" s="23">
        <v>5</v>
      </c>
      <c r="F290" s="23">
        <f>12.7*E290/100</f>
        <v>0.635</v>
      </c>
      <c r="G290" s="23">
        <f>11.5*E290/100</f>
        <v>0.575</v>
      </c>
      <c r="H290" s="23">
        <v>0</v>
      </c>
      <c r="I290" s="23">
        <f>157*E290/100</f>
        <v>7.85</v>
      </c>
      <c r="J290" s="23">
        <f>140*E290/100</f>
        <v>7</v>
      </c>
      <c r="K290" s="23">
        <f>55*E290/100</f>
        <v>2.75</v>
      </c>
      <c r="L290" s="23">
        <f>12*E290/100</f>
        <v>0.6</v>
      </c>
      <c r="M290" s="23">
        <f>192*E290/100</f>
        <v>9.6</v>
      </c>
      <c r="N290" s="23">
        <f>2.5*E290/100</f>
        <v>0.125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</row>
    <row r="291" spans="1:19" ht="12.75">
      <c r="A291" s="19"/>
      <c r="B291" s="48" t="s">
        <v>81</v>
      </c>
      <c r="C291" s="48"/>
      <c r="D291" s="49">
        <v>3</v>
      </c>
      <c r="E291" s="69">
        <v>3</v>
      </c>
      <c r="F291" s="38">
        <f>7.7*E291/100</f>
        <v>0.231</v>
      </c>
      <c r="G291" s="38">
        <f>3*E291/100</f>
        <v>0.09</v>
      </c>
      <c r="H291" s="38">
        <f>49.8*E291/100</f>
        <v>1.4939999999999998</v>
      </c>
      <c r="I291" s="38">
        <f>262*E291/100</f>
        <v>7.86</v>
      </c>
      <c r="J291" s="38">
        <f>127*E291/100</f>
        <v>3.81</v>
      </c>
      <c r="K291" s="38">
        <f>26*E291/100</f>
        <v>0.78</v>
      </c>
      <c r="L291" s="38">
        <f>35*E291/100</f>
        <v>1.05</v>
      </c>
      <c r="M291" s="38">
        <f>83*E291/100</f>
        <v>2.49</v>
      </c>
      <c r="N291" s="38">
        <f>1.6*E291/100</f>
        <v>0.04800000000000001</v>
      </c>
      <c r="O291" s="38">
        <v>0</v>
      </c>
      <c r="P291" s="38">
        <v>0</v>
      </c>
      <c r="Q291" s="38">
        <v>0</v>
      </c>
      <c r="R291" s="38">
        <f>1.54*E291/100</f>
        <v>0.0462</v>
      </c>
      <c r="S291" s="38">
        <v>0</v>
      </c>
    </row>
    <row r="292" spans="1:19" ht="12.75">
      <c r="A292" s="19"/>
      <c r="B292" s="24" t="s">
        <v>76</v>
      </c>
      <c r="C292" s="24"/>
      <c r="D292" s="8">
        <v>8</v>
      </c>
      <c r="E292" s="8">
        <v>8</v>
      </c>
      <c r="F292" s="8">
        <f>72.5*D292/100</f>
        <v>5.8</v>
      </c>
      <c r="G292" s="8">
        <f>1.3*D292/100</f>
        <v>0.10400000000000001</v>
      </c>
      <c r="H292" s="8">
        <f>661*D292/100</f>
        <v>52.88</v>
      </c>
      <c r="I292" s="8">
        <f>23*D292/100</f>
        <v>1.84</v>
      </c>
      <c r="J292" s="9">
        <f>22*D292/100</f>
        <v>1.76</v>
      </c>
      <c r="K292" s="8">
        <f>3*D292/100</f>
        <v>0.24</v>
      </c>
      <c r="L292" s="9">
        <f>19*D292/100</f>
        <v>1.52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38">
        <v>0</v>
      </c>
    </row>
    <row r="293" spans="1:19" ht="12.75">
      <c r="A293" s="19"/>
      <c r="B293" s="24" t="s">
        <v>46</v>
      </c>
      <c r="C293" s="14"/>
      <c r="D293" s="8">
        <v>2</v>
      </c>
      <c r="E293" s="8">
        <v>2</v>
      </c>
      <c r="F293" s="8">
        <v>0</v>
      </c>
      <c r="G293" s="8">
        <v>0</v>
      </c>
      <c r="H293" s="8">
        <v>0</v>
      </c>
      <c r="I293" s="8">
        <v>0</v>
      </c>
      <c r="J293" s="68">
        <v>0</v>
      </c>
      <c r="K293" s="68">
        <v>0</v>
      </c>
      <c r="L293" s="68">
        <v>0</v>
      </c>
      <c r="M293" s="68">
        <v>0</v>
      </c>
      <c r="N293" s="68">
        <v>0</v>
      </c>
      <c r="O293" s="68">
        <v>0</v>
      </c>
      <c r="P293" s="68">
        <v>0</v>
      </c>
      <c r="Q293" s="68">
        <v>0</v>
      </c>
      <c r="R293" s="68">
        <v>0</v>
      </c>
      <c r="S293" s="68">
        <v>0</v>
      </c>
    </row>
    <row r="294" spans="1:19" ht="12.75">
      <c r="A294" s="11"/>
      <c r="B294" s="13" t="s">
        <v>35</v>
      </c>
      <c r="C294" s="13"/>
      <c r="D294" s="23">
        <v>5</v>
      </c>
      <c r="E294" s="23">
        <v>5</v>
      </c>
      <c r="F294" s="8">
        <f>72.5*D294/100</f>
        <v>3.625</v>
      </c>
      <c r="G294" s="8">
        <f>1.3*D294/100</f>
        <v>0.065</v>
      </c>
      <c r="H294" s="8">
        <f>661*D294/100</f>
        <v>33.05</v>
      </c>
      <c r="I294" s="8">
        <f>23*D294/100</f>
        <v>1.15</v>
      </c>
      <c r="J294" s="9">
        <f>22*D294/100</f>
        <v>1.1</v>
      </c>
      <c r="K294" s="8">
        <f>3*D294/100</f>
        <v>0.15</v>
      </c>
      <c r="L294" s="9">
        <f>19*D294/100</f>
        <v>0.95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38">
        <v>0</v>
      </c>
    </row>
    <row r="295" spans="1:19" ht="12.75">
      <c r="A295" s="19"/>
      <c r="B295" s="13" t="s">
        <v>31</v>
      </c>
      <c r="C295" s="24"/>
      <c r="D295" s="8">
        <v>12</v>
      </c>
      <c r="E295" s="8">
        <v>10</v>
      </c>
      <c r="F295" s="8">
        <v>0</v>
      </c>
      <c r="G295" s="8">
        <v>0</v>
      </c>
      <c r="H295" s="8">
        <v>0.7</v>
      </c>
      <c r="I295" s="8">
        <v>2.8</v>
      </c>
      <c r="J295" s="8">
        <v>0.02</v>
      </c>
      <c r="K295" s="8">
        <v>0.01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2.75">
      <c r="A296" s="11" t="s">
        <v>74</v>
      </c>
      <c r="B296" s="5" t="s">
        <v>75</v>
      </c>
      <c r="C296" s="39">
        <v>200</v>
      </c>
      <c r="D296" s="23"/>
      <c r="E296" s="2"/>
      <c r="F296" s="3">
        <f aca="true" t="shared" si="29" ref="F296:S296">SUM(F297:F299)</f>
        <v>0.1</v>
      </c>
      <c r="G296" s="3">
        <f t="shared" si="29"/>
        <v>0</v>
      </c>
      <c r="H296" s="3">
        <f t="shared" si="29"/>
        <v>15</v>
      </c>
      <c r="I296" s="3">
        <f t="shared" si="29"/>
        <v>57.699999999999996</v>
      </c>
      <c r="J296" s="3">
        <f t="shared" si="29"/>
        <v>12.9</v>
      </c>
      <c r="K296" s="3">
        <f t="shared" si="29"/>
        <v>2.9</v>
      </c>
      <c r="L296" s="3">
        <f t="shared" si="29"/>
        <v>2.2</v>
      </c>
      <c r="M296" s="3">
        <f t="shared" si="29"/>
        <v>4.12</v>
      </c>
      <c r="N296" s="3">
        <f t="shared" si="29"/>
        <v>0.4</v>
      </c>
      <c r="O296" s="3">
        <f t="shared" si="29"/>
        <v>0</v>
      </c>
      <c r="P296" s="3">
        <f t="shared" si="29"/>
        <v>0</v>
      </c>
      <c r="Q296" s="3">
        <f t="shared" si="29"/>
        <v>0</v>
      </c>
      <c r="R296" s="32">
        <f t="shared" si="29"/>
        <v>0</v>
      </c>
      <c r="S296" s="3">
        <f t="shared" si="29"/>
        <v>0</v>
      </c>
    </row>
    <row r="297" spans="1:19" ht="12.75">
      <c r="A297" s="11"/>
      <c r="B297" s="13" t="s">
        <v>38</v>
      </c>
      <c r="C297" s="23"/>
      <c r="D297" s="33">
        <v>50</v>
      </c>
      <c r="E297" s="33">
        <v>50</v>
      </c>
      <c r="F297" s="8">
        <v>0.1</v>
      </c>
      <c r="G297" s="8">
        <v>0</v>
      </c>
      <c r="H297" s="8">
        <v>0</v>
      </c>
      <c r="I297" s="8">
        <v>0.8</v>
      </c>
      <c r="J297" s="9">
        <v>12.4</v>
      </c>
      <c r="K297" s="8">
        <v>2.5</v>
      </c>
      <c r="L297" s="8">
        <v>2.2</v>
      </c>
      <c r="M297" s="9">
        <v>4.12</v>
      </c>
      <c r="N297" s="8">
        <v>0.4</v>
      </c>
      <c r="O297" s="8">
        <v>0</v>
      </c>
      <c r="P297" s="8">
        <v>0</v>
      </c>
      <c r="Q297" s="8">
        <v>0</v>
      </c>
      <c r="R297" s="34">
        <v>0</v>
      </c>
      <c r="S297" s="8">
        <v>0</v>
      </c>
    </row>
    <row r="298" spans="1:19" ht="12.75">
      <c r="A298" s="11"/>
      <c r="B298" s="13" t="s">
        <v>28</v>
      </c>
      <c r="C298" s="23"/>
      <c r="D298" s="33">
        <v>15</v>
      </c>
      <c r="E298" s="33">
        <v>15</v>
      </c>
      <c r="F298" s="8">
        <v>0</v>
      </c>
      <c r="G298" s="8">
        <v>0</v>
      </c>
      <c r="H298" s="8">
        <v>15</v>
      </c>
      <c r="I298" s="8">
        <v>56.9</v>
      </c>
      <c r="J298" s="9">
        <v>0.5</v>
      </c>
      <c r="K298" s="8">
        <v>0.4</v>
      </c>
      <c r="L298" s="8">
        <v>0</v>
      </c>
      <c r="M298" s="9">
        <v>0</v>
      </c>
      <c r="N298" s="8">
        <v>0</v>
      </c>
      <c r="O298" s="8">
        <v>0</v>
      </c>
      <c r="P298" s="8">
        <v>0</v>
      </c>
      <c r="Q298" s="8">
        <v>0</v>
      </c>
      <c r="R298" s="34">
        <v>0</v>
      </c>
      <c r="S298" s="8">
        <v>0</v>
      </c>
    </row>
    <row r="299" spans="1:19" ht="12.75">
      <c r="A299" s="11"/>
      <c r="B299" s="13" t="s">
        <v>33</v>
      </c>
      <c r="C299" s="23"/>
      <c r="D299" s="33">
        <v>150</v>
      </c>
      <c r="E299" s="33">
        <v>150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34">
        <v>0</v>
      </c>
      <c r="S299" s="8">
        <v>0</v>
      </c>
    </row>
    <row r="300" spans="1:19" ht="12.75">
      <c r="A300" s="11" t="s">
        <v>23</v>
      </c>
      <c r="B300" s="5" t="s">
        <v>89</v>
      </c>
      <c r="C300" s="5">
        <v>20</v>
      </c>
      <c r="D300" s="8">
        <v>20</v>
      </c>
      <c r="E300" s="38">
        <v>20</v>
      </c>
      <c r="F300" s="3">
        <f>7.7*E300/100</f>
        <v>1.54</v>
      </c>
      <c r="G300" s="3">
        <v>5.4</v>
      </c>
      <c r="H300" s="3">
        <f>49.8*E300/100</f>
        <v>9.96</v>
      </c>
      <c r="I300" s="3">
        <f>262*E300/100</f>
        <v>52.4</v>
      </c>
      <c r="J300" s="3">
        <f>127*E300/100</f>
        <v>25.4</v>
      </c>
      <c r="K300" s="3">
        <f>26*E300/100</f>
        <v>5.2</v>
      </c>
      <c r="L300" s="3">
        <f>35*E300/100</f>
        <v>7</v>
      </c>
      <c r="M300" s="3">
        <f>83*E300/100</f>
        <v>16.6</v>
      </c>
      <c r="N300" s="3">
        <f>1.6*E300/100</f>
        <v>0.32</v>
      </c>
      <c r="O300" s="3">
        <v>0</v>
      </c>
      <c r="P300" s="3">
        <v>0</v>
      </c>
      <c r="Q300" s="3">
        <v>0</v>
      </c>
      <c r="R300" s="3">
        <f>1.54*E300/100</f>
        <v>0.308</v>
      </c>
      <c r="S300" s="3">
        <v>0</v>
      </c>
    </row>
    <row r="301" spans="1:19" ht="12.75">
      <c r="A301" s="3" t="s">
        <v>138</v>
      </c>
      <c r="B301" s="5" t="s">
        <v>139</v>
      </c>
      <c r="C301" s="5">
        <v>20</v>
      </c>
      <c r="D301" s="23">
        <v>20</v>
      </c>
      <c r="E301" s="23">
        <v>20</v>
      </c>
      <c r="F301" s="3">
        <f>6.6*E301/100</f>
        <v>1.32</v>
      </c>
      <c r="G301" s="3">
        <f>1.2*E301/100</f>
        <v>0.24</v>
      </c>
      <c r="H301" s="3">
        <f>34.2*E301/100</f>
        <v>6.84</v>
      </c>
      <c r="I301" s="3">
        <f>181*E301/100</f>
        <v>36.2</v>
      </c>
      <c r="J301" s="3">
        <f>94*E301/100</f>
        <v>18.8</v>
      </c>
      <c r="K301" s="3">
        <f>34*E301/100</f>
        <v>6.8</v>
      </c>
      <c r="L301" s="3">
        <f>41*E301/100</f>
        <v>8.2</v>
      </c>
      <c r="M301" s="3">
        <f>120*E301/100</f>
        <v>24</v>
      </c>
      <c r="N301" s="3">
        <f>2.3*E301/100</f>
        <v>0.46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</row>
    <row r="302" spans="1:19" ht="12.75">
      <c r="A302" s="3"/>
      <c r="B302" s="2" t="s">
        <v>62</v>
      </c>
      <c r="C302" s="5"/>
      <c r="D302" s="23"/>
      <c r="E302" s="2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3"/>
      <c r="B303" s="2" t="s">
        <v>205</v>
      </c>
      <c r="C303" s="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ht="38.25">
      <c r="A304" s="11" t="s">
        <v>179</v>
      </c>
      <c r="B304" s="70" t="s">
        <v>180</v>
      </c>
      <c r="C304" s="70">
        <v>200</v>
      </c>
      <c r="D304" s="71"/>
      <c r="E304" s="71"/>
      <c r="F304" s="3">
        <f>F305+F306+F307+F308+F309+F310</f>
        <v>6.948</v>
      </c>
      <c r="G304" s="3">
        <f aca="true" t="shared" si="30" ref="G304:S304">G305+G306+G307+G308+G309+G310</f>
        <v>11.917</v>
      </c>
      <c r="H304" s="3">
        <f t="shared" si="30"/>
        <v>38.904999999999994</v>
      </c>
      <c r="I304" s="3">
        <f t="shared" si="30"/>
        <v>289.225</v>
      </c>
      <c r="J304" s="3">
        <f t="shared" si="30"/>
        <v>135.365</v>
      </c>
      <c r="K304" s="3">
        <f t="shared" si="30"/>
        <v>132.26999999999998</v>
      </c>
      <c r="L304" s="3">
        <f t="shared" si="30"/>
        <v>69.80999999999999</v>
      </c>
      <c r="M304" s="3">
        <f t="shared" si="30"/>
        <v>228.81</v>
      </c>
      <c r="N304" s="3">
        <f t="shared" si="30"/>
        <v>3.12</v>
      </c>
      <c r="O304" s="3">
        <f t="shared" si="30"/>
        <v>0</v>
      </c>
      <c r="P304" s="3">
        <f t="shared" si="30"/>
        <v>0.18</v>
      </c>
      <c r="Q304" s="3">
        <f t="shared" si="30"/>
        <v>0</v>
      </c>
      <c r="R304" s="3">
        <f t="shared" si="30"/>
        <v>0</v>
      </c>
      <c r="S304" s="3">
        <f t="shared" si="30"/>
        <v>1.183</v>
      </c>
    </row>
    <row r="305" spans="1:19" ht="12.75">
      <c r="A305" s="72"/>
      <c r="B305" s="73" t="s">
        <v>181</v>
      </c>
      <c r="C305" s="73"/>
      <c r="D305" s="74">
        <v>40</v>
      </c>
      <c r="E305" s="74">
        <v>40</v>
      </c>
      <c r="F305" s="75">
        <f>11*E305/100</f>
        <v>4.4</v>
      </c>
      <c r="G305" s="75">
        <f>6.2*E305/100</f>
        <v>2.48</v>
      </c>
      <c r="H305" s="75">
        <f>50.1*E305/100</f>
        <v>20.04</v>
      </c>
      <c r="I305" s="75">
        <f>305*E305/100</f>
        <v>122</v>
      </c>
      <c r="J305" s="76">
        <v>0</v>
      </c>
      <c r="K305" s="75">
        <f>52*E305/100</f>
        <v>20.8</v>
      </c>
      <c r="L305" s="75">
        <f>142*E305/100</f>
        <v>56.8</v>
      </c>
      <c r="M305" s="75">
        <f>363*E305/100</f>
        <v>145.2</v>
      </c>
      <c r="N305" s="75">
        <f>7.8*E305/100</f>
        <v>3.12</v>
      </c>
      <c r="O305" s="75">
        <v>0</v>
      </c>
      <c r="P305" s="75">
        <f>0.45*E305/100</f>
        <v>0.18</v>
      </c>
      <c r="Q305" s="75">
        <v>0</v>
      </c>
      <c r="R305" s="75">
        <v>0</v>
      </c>
      <c r="S305" s="75">
        <v>0</v>
      </c>
    </row>
    <row r="306" spans="1:19" ht="12.75">
      <c r="A306" s="72"/>
      <c r="B306" s="73" t="s">
        <v>27</v>
      </c>
      <c r="C306" s="73"/>
      <c r="D306" s="74">
        <v>91</v>
      </c>
      <c r="E306" s="74">
        <v>91</v>
      </c>
      <c r="F306" s="8">
        <f>2.8*E306/100</f>
        <v>2.548</v>
      </c>
      <c r="G306" s="8">
        <f>3.2*E306/100</f>
        <v>2.912</v>
      </c>
      <c r="H306" s="8">
        <f>4.7*E306/100</f>
        <v>4.277</v>
      </c>
      <c r="I306" s="8">
        <f>58*E306/100</f>
        <v>52.78</v>
      </c>
      <c r="J306" s="8">
        <f>146*E306/100</f>
        <v>132.86</v>
      </c>
      <c r="K306" s="9">
        <f>120*E306/100</f>
        <v>109.2</v>
      </c>
      <c r="L306" s="8">
        <f>14*E306/100</f>
        <v>12.74</v>
      </c>
      <c r="M306" s="9">
        <f>90*E306/100</f>
        <v>81.9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f>1.3*E306/100</f>
        <v>1.183</v>
      </c>
    </row>
    <row r="307" spans="1:19" ht="12.75">
      <c r="A307" s="72"/>
      <c r="B307" s="73" t="s">
        <v>33</v>
      </c>
      <c r="C307" s="73"/>
      <c r="D307" s="74">
        <v>54.5</v>
      </c>
      <c r="E307" s="74">
        <v>54.5</v>
      </c>
      <c r="F307" s="68">
        <v>0</v>
      </c>
      <c r="G307" s="68">
        <v>0</v>
      </c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8">
        <v>0</v>
      </c>
      <c r="N307" s="68">
        <v>0</v>
      </c>
      <c r="O307" s="68">
        <v>0</v>
      </c>
      <c r="P307" s="68">
        <v>0</v>
      </c>
      <c r="Q307" s="68">
        <v>0</v>
      </c>
      <c r="R307" s="68">
        <v>0</v>
      </c>
      <c r="S307" s="68">
        <v>0</v>
      </c>
    </row>
    <row r="308" spans="1:19" ht="12.75">
      <c r="A308" s="72"/>
      <c r="B308" s="73" t="s">
        <v>28</v>
      </c>
      <c r="C308" s="73"/>
      <c r="D308" s="74">
        <v>14.5</v>
      </c>
      <c r="E308" s="74">
        <v>14.5</v>
      </c>
      <c r="F308" s="77">
        <v>0</v>
      </c>
      <c r="G308" s="77">
        <v>0</v>
      </c>
      <c r="H308" s="77">
        <f>99.8*E308/100</f>
        <v>14.470999999999998</v>
      </c>
      <c r="I308" s="77">
        <f>379*E308/100</f>
        <v>54.955</v>
      </c>
      <c r="J308" s="77">
        <f>3*E308/100</f>
        <v>0.435</v>
      </c>
      <c r="K308" s="77">
        <f>2*E308/100</f>
        <v>0.29</v>
      </c>
      <c r="L308" s="77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  <c r="R308" s="77">
        <v>0</v>
      </c>
      <c r="S308" s="77">
        <v>0</v>
      </c>
    </row>
    <row r="309" spans="1:19" ht="12.75">
      <c r="A309" s="11"/>
      <c r="B309" s="78" t="s">
        <v>46</v>
      </c>
      <c r="C309" s="78"/>
      <c r="D309" s="79">
        <v>1</v>
      </c>
      <c r="E309" s="79">
        <v>1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</row>
    <row r="310" spans="1:19" ht="12.75">
      <c r="A310" s="11"/>
      <c r="B310" s="80" t="s">
        <v>35</v>
      </c>
      <c r="C310" s="80"/>
      <c r="D310" s="81">
        <v>9</v>
      </c>
      <c r="E310" s="81">
        <v>9</v>
      </c>
      <c r="F310" s="8">
        <v>0</v>
      </c>
      <c r="G310" s="8">
        <f>72.5*E310/100</f>
        <v>6.525</v>
      </c>
      <c r="H310" s="8">
        <f>1.3*E310/100</f>
        <v>0.117</v>
      </c>
      <c r="I310" s="8">
        <f>661*E310/100</f>
        <v>59.49</v>
      </c>
      <c r="J310" s="8">
        <f>23*E310/100</f>
        <v>2.07</v>
      </c>
      <c r="K310" s="9">
        <f>22*E310/100</f>
        <v>1.98</v>
      </c>
      <c r="L310" s="8">
        <f>3*E310/100</f>
        <v>0.27</v>
      </c>
      <c r="M310" s="9">
        <f>19*E310/100</f>
        <v>1.71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12.75">
      <c r="A311" s="3" t="s">
        <v>23</v>
      </c>
      <c r="B311" s="5" t="s">
        <v>196</v>
      </c>
      <c r="C311" s="23">
        <v>30</v>
      </c>
      <c r="D311" s="23">
        <v>30</v>
      </c>
      <c r="E311" s="23">
        <v>30</v>
      </c>
      <c r="F311" s="23">
        <f>7.7*E311/100</f>
        <v>2.31</v>
      </c>
      <c r="G311" s="23">
        <v>2</v>
      </c>
      <c r="H311" s="23">
        <f>49.8*E311/100</f>
        <v>14.94</v>
      </c>
      <c r="I311" s="23">
        <f>262*E311/100</f>
        <v>78.6</v>
      </c>
      <c r="J311" s="23">
        <f>127*E311/100</f>
        <v>38.1</v>
      </c>
      <c r="K311" s="23">
        <f>26*E311/100</f>
        <v>7.8</v>
      </c>
      <c r="L311" s="23">
        <f>35*E311/100</f>
        <v>10.5</v>
      </c>
      <c r="M311" s="23">
        <f>83*E311/100</f>
        <v>24.9</v>
      </c>
      <c r="N311" s="23">
        <f>1.6*E311/100</f>
        <v>0.48</v>
      </c>
      <c r="O311" s="23">
        <v>0</v>
      </c>
      <c r="P311" s="23">
        <v>0</v>
      </c>
      <c r="Q311" s="23">
        <v>0</v>
      </c>
      <c r="R311" s="23">
        <f>1.54*E311/100</f>
        <v>0.462</v>
      </c>
      <c r="S311" s="23">
        <v>0</v>
      </c>
    </row>
    <row r="312" spans="1:19" ht="24">
      <c r="A312" s="84" t="s">
        <v>185</v>
      </c>
      <c r="B312" s="85" t="s">
        <v>186</v>
      </c>
      <c r="C312" s="85">
        <v>200</v>
      </c>
      <c r="D312" s="85"/>
      <c r="E312" s="85"/>
      <c r="F312" s="3">
        <f aca="true" t="shared" si="31" ref="F312:S312">SUM(F313:F315)</f>
        <v>0.1</v>
      </c>
      <c r="G312" s="3">
        <f t="shared" si="31"/>
        <v>0</v>
      </c>
      <c r="H312" s="3">
        <f t="shared" si="31"/>
        <v>15</v>
      </c>
      <c r="I312" s="3">
        <f t="shared" si="31"/>
        <v>57.599999999999994</v>
      </c>
      <c r="J312" s="3">
        <f t="shared" si="31"/>
        <v>12.9</v>
      </c>
      <c r="K312" s="3">
        <f t="shared" si="31"/>
        <v>2.9</v>
      </c>
      <c r="L312" s="3">
        <f t="shared" si="31"/>
        <v>2.2</v>
      </c>
      <c r="M312" s="3">
        <f t="shared" si="31"/>
        <v>4.1</v>
      </c>
      <c r="N312" s="3">
        <f t="shared" si="31"/>
        <v>0.4</v>
      </c>
      <c r="O312" s="3">
        <f t="shared" si="31"/>
        <v>0</v>
      </c>
      <c r="P312" s="3">
        <f t="shared" si="31"/>
        <v>0</v>
      </c>
      <c r="Q312" s="3">
        <f t="shared" si="31"/>
        <v>0</v>
      </c>
      <c r="R312" s="3">
        <f t="shared" si="31"/>
        <v>0</v>
      </c>
      <c r="S312" s="3">
        <f t="shared" si="31"/>
        <v>0</v>
      </c>
    </row>
    <row r="313" spans="1:19" ht="12.75">
      <c r="A313" s="87" t="s">
        <v>188</v>
      </c>
      <c r="B313" s="88" t="s">
        <v>189</v>
      </c>
      <c r="C313" s="88"/>
      <c r="D313" s="88">
        <v>50</v>
      </c>
      <c r="E313" s="88">
        <v>50</v>
      </c>
      <c r="F313" s="88">
        <v>0.1</v>
      </c>
      <c r="G313" s="88">
        <v>0</v>
      </c>
      <c r="H313" s="88">
        <v>0</v>
      </c>
      <c r="I313" s="88">
        <v>0.8</v>
      </c>
      <c r="J313" s="88">
        <v>12.4</v>
      </c>
      <c r="K313" s="88">
        <v>2.5</v>
      </c>
      <c r="L313" s="88">
        <v>2.2</v>
      </c>
      <c r="M313" s="88">
        <v>4.1</v>
      </c>
      <c r="N313" s="88">
        <v>0.4</v>
      </c>
      <c r="O313" s="88">
        <v>0</v>
      </c>
      <c r="P313" s="88">
        <v>0</v>
      </c>
      <c r="Q313" s="88">
        <v>0</v>
      </c>
      <c r="R313" s="88">
        <v>0</v>
      </c>
      <c r="S313" s="88">
        <v>0</v>
      </c>
    </row>
    <row r="314" spans="1:19" ht="12.75">
      <c r="A314" s="89"/>
      <c r="B314" s="88" t="s">
        <v>28</v>
      </c>
      <c r="C314" s="88"/>
      <c r="D314" s="88">
        <v>15</v>
      </c>
      <c r="E314" s="88">
        <v>15</v>
      </c>
      <c r="F314" s="88">
        <v>0</v>
      </c>
      <c r="G314" s="88">
        <v>0</v>
      </c>
      <c r="H314" s="88">
        <v>15</v>
      </c>
      <c r="I314" s="88">
        <v>56.8</v>
      </c>
      <c r="J314" s="88">
        <v>0.5</v>
      </c>
      <c r="K314" s="88">
        <v>0.4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</v>
      </c>
      <c r="S314" s="88">
        <v>0</v>
      </c>
    </row>
    <row r="315" spans="1:19" ht="12.75">
      <c r="A315" s="89"/>
      <c r="B315" s="88" t="s">
        <v>33</v>
      </c>
      <c r="C315" s="88"/>
      <c r="D315" s="88">
        <v>150</v>
      </c>
      <c r="E315" s="88">
        <v>150</v>
      </c>
      <c r="F315" s="88">
        <v>0</v>
      </c>
      <c r="G315" s="88">
        <v>0</v>
      </c>
      <c r="H315" s="88">
        <v>0</v>
      </c>
      <c r="I315" s="88">
        <v>0</v>
      </c>
      <c r="J315" s="88">
        <v>0</v>
      </c>
      <c r="K315" s="88">
        <v>0</v>
      </c>
      <c r="L315" s="88">
        <v>0</v>
      </c>
      <c r="M315" s="88">
        <v>0</v>
      </c>
      <c r="N315" s="88">
        <v>0</v>
      </c>
      <c r="O315" s="88">
        <v>0</v>
      </c>
      <c r="P315" s="88">
        <v>0</v>
      </c>
      <c r="Q315" s="88">
        <v>0</v>
      </c>
      <c r="R315" s="88">
        <v>0</v>
      </c>
      <c r="S315" s="88">
        <v>0</v>
      </c>
    </row>
    <row r="316" spans="1:19" ht="12.75">
      <c r="A316" s="11"/>
      <c r="B316" s="2" t="s">
        <v>1</v>
      </c>
      <c r="C316" s="23"/>
      <c r="D316" s="33"/>
      <c r="E316" s="33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34"/>
      <c r="S316" s="8"/>
    </row>
    <row r="317" spans="1:19" ht="18.75" customHeight="1">
      <c r="A317" s="11">
        <v>88</v>
      </c>
      <c r="B317" s="5" t="s">
        <v>157</v>
      </c>
      <c r="C317" s="5" t="s">
        <v>159</v>
      </c>
      <c r="D317" s="15"/>
      <c r="E317" s="3"/>
      <c r="F317" s="3">
        <v>1.83</v>
      </c>
      <c r="G317" s="3">
        <v>5.15</v>
      </c>
      <c r="H317" s="7">
        <v>13.43</v>
      </c>
      <c r="I317" s="45">
        <v>103.97</v>
      </c>
      <c r="J317" s="7">
        <v>362.8</v>
      </c>
      <c r="K317" s="3">
        <v>33.59</v>
      </c>
      <c r="L317" s="3">
        <v>24.55</v>
      </c>
      <c r="M317" s="3">
        <v>50.1</v>
      </c>
      <c r="N317" s="3">
        <v>1.02</v>
      </c>
      <c r="O317" s="3">
        <v>0</v>
      </c>
      <c r="P317" s="3">
        <v>0</v>
      </c>
      <c r="Q317" s="3">
        <v>0</v>
      </c>
      <c r="R317" s="3">
        <v>0.39</v>
      </c>
      <c r="S317" s="3">
        <v>20.85</v>
      </c>
    </row>
    <row r="318" spans="1:19" ht="12.75">
      <c r="A318" s="11"/>
      <c r="B318" s="37" t="s">
        <v>50</v>
      </c>
      <c r="C318" s="18"/>
      <c r="D318" s="15">
        <v>5</v>
      </c>
      <c r="E318" s="15">
        <v>5</v>
      </c>
      <c r="F318" s="15">
        <v>0.1425</v>
      </c>
      <c r="G318" s="15">
        <v>0.855</v>
      </c>
      <c r="H318" s="17">
        <v>0.194</v>
      </c>
      <c r="I318" s="17">
        <v>11.742</v>
      </c>
      <c r="J318" s="15">
        <v>6.213</v>
      </c>
      <c r="K318" s="15">
        <v>4.902</v>
      </c>
      <c r="L318" s="15">
        <v>0.456</v>
      </c>
      <c r="M318" s="15">
        <v>3.42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</row>
    <row r="319" spans="1:19" ht="12.75">
      <c r="A319" s="11"/>
      <c r="B319" s="18" t="s">
        <v>40</v>
      </c>
      <c r="C319" s="18"/>
      <c r="D319" s="15">
        <v>62.5</v>
      </c>
      <c r="E319" s="15">
        <v>50</v>
      </c>
      <c r="F319" s="15">
        <v>0.36</v>
      </c>
      <c r="G319" s="15">
        <v>0.02</v>
      </c>
      <c r="H319" s="17">
        <v>0.94</v>
      </c>
      <c r="I319" s="17">
        <v>5.4</v>
      </c>
      <c r="J319" s="15">
        <v>60</v>
      </c>
      <c r="K319" s="15">
        <v>9.6</v>
      </c>
      <c r="L319" s="15">
        <v>3.2</v>
      </c>
      <c r="M319" s="15">
        <v>6.2</v>
      </c>
      <c r="N319" s="15">
        <v>0.12</v>
      </c>
      <c r="O319" s="15">
        <v>0</v>
      </c>
      <c r="P319" s="15">
        <v>0</v>
      </c>
      <c r="Q319" s="15">
        <v>0</v>
      </c>
      <c r="R319" s="15">
        <v>0</v>
      </c>
      <c r="S319" s="15">
        <v>9</v>
      </c>
    </row>
    <row r="320" spans="1:19" ht="12.75">
      <c r="A320" s="11"/>
      <c r="B320" s="18" t="s">
        <v>29</v>
      </c>
      <c r="C320" s="18"/>
      <c r="D320" s="15">
        <v>40</v>
      </c>
      <c r="E320" s="15">
        <v>30</v>
      </c>
      <c r="F320" s="15">
        <v>0.4</v>
      </c>
      <c r="G320" s="15">
        <v>0.08</v>
      </c>
      <c r="H320" s="17">
        <v>3.46</v>
      </c>
      <c r="I320" s="17">
        <v>16</v>
      </c>
      <c r="J320" s="15">
        <v>113.6</v>
      </c>
      <c r="K320" s="15">
        <v>2</v>
      </c>
      <c r="L320" s="15">
        <v>4.6</v>
      </c>
      <c r="M320" s="15">
        <v>11.6</v>
      </c>
      <c r="N320" s="15">
        <v>0.18</v>
      </c>
      <c r="O320" s="15">
        <v>0</v>
      </c>
      <c r="P320" s="15">
        <v>0</v>
      </c>
      <c r="Q320" s="15">
        <v>0</v>
      </c>
      <c r="R320" s="15">
        <v>0.26</v>
      </c>
      <c r="S320" s="15">
        <v>4</v>
      </c>
    </row>
    <row r="321" spans="1:19" ht="12.75">
      <c r="A321" s="11"/>
      <c r="B321" s="18" t="s">
        <v>30</v>
      </c>
      <c r="C321" s="18"/>
      <c r="D321" s="15">
        <v>15.8</v>
      </c>
      <c r="E321" s="15">
        <v>12.5</v>
      </c>
      <c r="F321" s="15">
        <v>0.16</v>
      </c>
      <c r="G321" s="15">
        <v>0.01</v>
      </c>
      <c r="H321" s="17">
        <v>1.05</v>
      </c>
      <c r="I321" s="17">
        <v>4.25</v>
      </c>
      <c r="J321" s="16">
        <v>25</v>
      </c>
      <c r="K321" s="15">
        <v>3.37</v>
      </c>
      <c r="L321" s="15">
        <v>4.75</v>
      </c>
      <c r="M321" s="17">
        <v>6.9</v>
      </c>
      <c r="N321" s="15">
        <v>0.08</v>
      </c>
      <c r="O321" s="15">
        <v>0</v>
      </c>
      <c r="P321" s="15">
        <v>0</v>
      </c>
      <c r="Q321" s="15">
        <v>0</v>
      </c>
      <c r="R321" s="15">
        <v>0.13</v>
      </c>
      <c r="S321" s="15">
        <v>1.25</v>
      </c>
    </row>
    <row r="322" spans="1:19" ht="12.75">
      <c r="A322" s="11"/>
      <c r="B322" s="18" t="s">
        <v>31</v>
      </c>
      <c r="C322" s="18"/>
      <c r="D322" s="15">
        <v>12</v>
      </c>
      <c r="E322" s="15">
        <v>10</v>
      </c>
      <c r="F322" s="15">
        <v>0.14</v>
      </c>
      <c r="G322" s="15">
        <v>0</v>
      </c>
      <c r="H322" s="17">
        <v>0.91</v>
      </c>
      <c r="I322" s="17">
        <v>4.1</v>
      </c>
      <c r="J322" s="23">
        <v>17.5</v>
      </c>
      <c r="K322" s="23">
        <v>3.1</v>
      </c>
      <c r="L322" s="23">
        <v>1.4</v>
      </c>
      <c r="M322" s="23">
        <v>5.8</v>
      </c>
      <c r="N322" s="23">
        <v>0.08</v>
      </c>
      <c r="O322" s="23">
        <v>0</v>
      </c>
      <c r="P322" s="23">
        <v>0</v>
      </c>
      <c r="Q322" s="23">
        <v>0</v>
      </c>
      <c r="R322" s="23">
        <v>0</v>
      </c>
      <c r="S322" s="23">
        <v>1</v>
      </c>
    </row>
    <row r="323" spans="1:19" ht="12.75">
      <c r="A323" s="11"/>
      <c r="B323" s="18" t="s">
        <v>34</v>
      </c>
      <c r="C323" s="18"/>
      <c r="D323" s="15">
        <v>1</v>
      </c>
      <c r="E323" s="15">
        <v>1</v>
      </c>
      <c r="F323" s="15">
        <v>0.17</v>
      </c>
      <c r="G323" s="15">
        <v>0</v>
      </c>
      <c r="H323" s="17">
        <v>0.8</v>
      </c>
      <c r="I323" s="17">
        <v>3.7</v>
      </c>
      <c r="J323" s="15">
        <v>31.5</v>
      </c>
      <c r="K323" s="15">
        <v>0.72</v>
      </c>
      <c r="L323" s="15">
        <v>1.8</v>
      </c>
      <c r="M323" s="15">
        <v>2.4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1.6</v>
      </c>
    </row>
    <row r="324" spans="1:19" ht="12.75">
      <c r="A324" s="11"/>
      <c r="B324" s="24" t="s">
        <v>76</v>
      </c>
      <c r="C324" s="24"/>
      <c r="D324" s="15">
        <v>5</v>
      </c>
      <c r="E324" s="15">
        <v>5</v>
      </c>
      <c r="F324" s="15">
        <f>72.5*D324/100</f>
        <v>3.625</v>
      </c>
      <c r="G324" s="15">
        <f>1.3*D324/100</f>
        <v>0.065</v>
      </c>
      <c r="H324" s="15">
        <f>661*D324/100</f>
        <v>33.05</v>
      </c>
      <c r="I324" s="15">
        <f>23*D324/100</f>
        <v>1.15</v>
      </c>
      <c r="J324" s="17">
        <f>22*D324/100</f>
        <v>1.1</v>
      </c>
      <c r="K324" s="15">
        <f>3*D324/100</f>
        <v>0.15</v>
      </c>
      <c r="L324" s="17">
        <f>19*D324/100</f>
        <v>0.95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38">
        <v>0</v>
      </c>
    </row>
    <row r="325" spans="1:19" ht="12.75">
      <c r="A325" s="11"/>
      <c r="B325" s="18" t="s">
        <v>46</v>
      </c>
      <c r="C325" s="18"/>
      <c r="D325" s="15">
        <v>1.5</v>
      </c>
      <c r="E325" s="15">
        <v>1.5</v>
      </c>
      <c r="F325" s="15">
        <v>0</v>
      </c>
      <c r="G325" s="15">
        <v>0</v>
      </c>
      <c r="H325" s="17">
        <v>0</v>
      </c>
      <c r="I325" s="17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</row>
    <row r="326" spans="1:19" ht="12.75">
      <c r="A326" s="11"/>
      <c r="B326" s="18" t="s">
        <v>41</v>
      </c>
      <c r="C326" s="18"/>
      <c r="D326" s="15">
        <v>200</v>
      </c>
      <c r="E326" s="15">
        <v>200</v>
      </c>
      <c r="F326" s="15">
        <v>0</v>
      </c>
      <c r="G326" s="15">
        <v>0</v>
      </c>
      <c r="H326" s="16">
        <v>0</v>
      </c>
      <c r="I326" s="16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</row>
    <row r="327" spans="1:19" ht="12.75">
      <c r="A327" s="11" t="s">
        <v>78</v>
      </c>
      <c r="B327" s="5" t="s">
        <v>79</v>
      </c>
      <c r="C327" s="5">
        <v>60</v>
      </c>
      <c r="D327" s="15"/>
      <c r="E327" s="3">
        <v>60</v>
      </c>
      <c r="F327" s="3">
        <f>F328</f>
        <v>6.6</v>
      </c>
      <c r="G327" s="3">
        <f aca="true" t="shared" si="32" ref="G327:S327">G328</f>
        <v>14.34</v>
      </c>
      <c r="H327" s="3">
        <f t="shared" si="32"/>
        <v>0</v>
      </c>
      <c r="I327" s="3">
        <f t="shared" si="32"/>
        <v>156.6</v>
      </c>
      <c r="J327" s="3">
        <f t="shared" si="32"/>
        <v>132</v>
      </c>
      <c r="K327" s="3">
        <f t="shared" si="32"/>
        <v>21</v>
      </c>
      <c r="L327" s="3">
        <f t="shared" si="32"/>
        <v>12</v>
      </c>
      <c r="M327" s="3">
        <f t="shared" si="32"/>
        <v>95.4</v>
      </c>
      <c r="N327" s="3">
        <f t="shared" si="32"/>
        <v>1.08</v>
      </c>
      <c r="O327" s="3">
        <f t="shared" si="32"/>
        <v>0</v>
      </c>
      <c r="P327" s="3">
        <f t="shared" si="32"/>
        <v>0</v>
      </c>
      <c r="Q327" s="3">
        <f t="shared" si="32"/>
        <v>0</v>
      </c>
      <c r="R327" s="3">
        <f t="shared" si="32"/>
        <v>1.38</v>
      </c>
      <c r="S327" s="3">
        <f t="shared" si="32"/>
        <v>0</v>
      </c>
    </row>
    <row r="328" spans="1:19" ht="12.75">
      <c r="A328" s="11"/>
      <c r="B328" s="18" t="s">
        <v>80</v>
      </c>
      <c r="C328" s="18"/>
      <c r="D328" s="15">
        <v>61</v>
      </c>
      <c r="E328" s="15">
        <v>60</v>
      </c>
      <c r="F328" s="15">
        <f>11*E328/100</f>
        <v>6.6</v>
      </c>
      <c r="G328" s="15">
        <f>23.9*E328/100</f>
        <v>14.34</v>
      </c>
      <c r="H328" s="17">
        <v>0</v>
      </c>
      <c r="I328" s="15">
        <f>261*E328/100</f>
        <v>156.6</v>
      </c>
      <c r="J328" s="16">
        <f>220*E328/100</f>
        <v>132</v>
      </c>
      <c r="K328" s="17">
        <f>35*E328/100</f>
        <v>21</v>
      </c>
      <c r="L328" s="15">
        <f>20*E328/100</f>
        <v>12</v>
      </c>
      <c r="M328" s="15">
        <f>159*E328/100</f>
        <v>95.4</v>
      </c>
      <c r="N328" s="15">
        <f>1.8*E328/100</f>
        <v>1.08</v>
      </c>
      <c r="O328" s="15">
        <v>0</v>
      </c>
      <c r="P328" s="15">
        <v>0</v>
      </c>
      <c r="Q328" s="15">
        <v>0</v>
      </c>
      <c r="R328" s="15">
        <f>2.3*E328/100</f>
        <v>1.38</v>
      </c>
      <c r="S328" s="15">
        <v>0</v>
      </c>
    </row>
    <row r="329" spans="1:19" ht="12.75">
      <c r="A329" s="11" t="s">
        <v>71</v>
      </c>
      <c r="B329" s="5" t="s">
        <v>72</v>
      </c>
      <c r="C329" s="5">
        <v>150</v>
      </c>
      <c r="D329" s="15"/>
      <c r="E329" s="3"/>
      <c r="F329" s="3">
        <f>F330+F331+F332</f>
        <v>8.928999999999998</v>
      </c>
      <c r="G329" s="3">
        <f aca="true" t="shared" si="33" ref="G329:S329">G330+G331+G332</f>
        <v>0.6260000000000001</v>
      </c>
      <c r="H329" s="3">
        <f t="shared" si="33"/>
        <v>68.59700000000001</v>
      </c>
      <c r="I329" s="3">
        <f t="shared" si="33"/>
        <v>173.02</v>
      </c>
      <c r="J329" s="3">
        <f t="shared" si="33"/>
        <v>64.34</v>
      </c>
      <c r="K329" s="3">
        <f t="shared" si="33"/>
        <v>9.33</v>
      </c>
      <c r="L329" s="3">
        <f t="shared" si="33"/>
        <v>9.11</v>
      </c>
      <c r="M329" s="3">
        <f t="shared" si="33"/>
        <v>44.37</v>
      </c>
      <c r="N329" s="3">
        <f t="shared" si="33"/>
        <v>0.612</v>
      </c>
      <c r="O329" s="3">
        <f t="shared" si="33"/>
        <v>0</v>
      </c>
      <c r="P329" s="3">
        <f t="shared" si="33"/>
        <v>0</v>
      </c>
      <c r="Q329" s="3">
        <f t="shared" si="33"/>
        <v>0</v>
      </c>
      <c r="R329" s="3">
        <f t="shared" si="33"/>
        <v>0</v>
      </c>
      <c r="S329" s="3">
        <f t="shared" si="33"/>
        <v>0</v>
      </c>
    </row>
    <row r="330" spans="1:19" ht="12.75">
      <c r="A330" s="11"/>
      <c r="B330" s="18" t="s">
        <v>73</v>
      </c>
      <c r="C330" s="18"/>
      <c r="D330" s="15">
        <v>51</v>
      </c>
      <c r="E330" s="15">
        <v>51</v>
      </c>
      <c r="F330" s="15">
        <f>10.4*E330/100</f>
        <v>5.303999999999999</v>
      </c>
      <c r="G330" s="15">
        <f>1.1*E330/100</f>
        <v>0.561</v>
      </c>
      <c r="H330" s="15">
        <f>69.7*E330/100</f>
        <v>35.547000000000004</v>
      </c>
      <c r="I330" s="15">
        <f>337*E330/100</f>
        <v>171.87</v>
      </c>
      <c r="J330" s="17">
        <f>124*E330/100</f>
        <v>63.24</v>
      </c>
      <c r="K330" s="15">
        <f>18*E330/100</f>
        <v>9.18</v>
      </c>
      <c r="L330" s="15">
        <f>16*E330/100</f>
        <v>8.16</v>
      </c>
      <c r="M330" s="15">
        <f>87*E330/100</f>
        <v>44.37</v>
      </c>
      <c r="N330" s="15">
        <f>1.2*E330/100</f>
        <v>0.612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</row>
    <row r="331" spans="1:19" ht="12.75">
      <c r="A331" s="11"/>
      <c r="B331" s="18" t="s">
        <v>46</v>
      </c>
      <c r="C331" s="18"/>
      <c r="D331" s="15">
        <v>1</v>
      </c>
      <c r="E331" s="15">
        <v>1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</row>
    <row r="332" spans="1:19" ht="12.75">
      <c r="A332" s="11"/>
      <c r="B332" s="18" t="s">
        <v>35</v>
      </c>
      <c r="C332" s="18"/>
      <c r="D332" s="15">
        <v>5</v>
      </c>
      <c r="E332" s="15">
        <v>5</v>
      </c>
      <c r="F332" s="15">
        <f>72.5*D332/100</f>
        <v>3.625</v>
      </c>
      <c r="G332" s="15">
        <f>1.3*D332/100</f>
        <v>0.065</v>
      </c>
      <c r="H332" s="15">
        <f>661*D332/100</f>
        <v>33.05</v>
      </c>
      <c r="I332" s="15">
        <f>23*D332/100</f>
        <v>1.15</v>
      </c>
      <c r="J332" s="17">
        <f>22*D332/100</f>
        <v>1.1</v>
      </c>
      <c r="K332" s="15">
        <f>3*D332/100</f>
        <v>0.15</v>
      </c>
      <c r="L332" s="17">
        <f>19*D332/100</f>
        <v>0.95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38">
        <v>0</v>
      </c>
    </row>
    <row r="333" spans="1:19" ht="12.75">
      <c r="A333" s="11" t="s">
        <v>74</v>
      </c>
      <c r="B333" s="5" t="s">
        <v>75</v>
      </c>
      <c r="C333" s="39">
        <v>200</v>
      </c>
      <c r="D333" s="23"/>
      <c r="E333" s="2"/>
      <c r="F333" s="3">
        <f aca="true" t="shared" si="34" ref="F333:S333">SUM(F334:F336)</f>
        <v>0.1</v>
      </c>
      <c r="G333" s="3">
        <f t="shared" si="34"/>
        <v>0</v>
      </c>
      <c r="H333" s="3">
        <f t="shared" si="34"/>
        <v>15</v>
      </c>
      <c r="I333" s="3">
        <f t="shared" si="34"/>
        <v>57.699999999999996</v>
      </c>
      <c r="J333" s="3">
        <f t="shared" si="34"/>
        <v>12.9</v>
      </c>
      <c r="K333" s="3">
        <f t="shared" si="34"/>
        <v>2.9</v>
      </c>
      <c r="L333" s="3">
        <f t="shared" si="34"/>
        <v>2.2</v>
      </c>
      <c r="M333" s="3">
        <f t="shared" si="34"/>
        <v>4.12</v>
      </c>
      <c r="N333" s="3">
        <f t="shared" si="34"/>
        <v>0.4</v>
      </c>
      <c r="O333" s="3">
        <f t="shared" si="34"/>
        <v>0</v>
      </c>
      <c r="P333" s="3">
        <f t="shared" si="34"/>
        <v>0</v>
      </c>
      <c r="Q333" s="3">
        <f t="shared" si="34"/>
        <v>0</v>
      </c>
      <c r="R333" s="32">
        <f t="shared" si="34"/>
        <v>0</v>
      </c>
      <c r="S333" s="3">
        <f t="shared" si="34"/>
        <v>0</v>
      </c>
    </row>
    <row r="334" spans="1:19" ht="12.75">
      <c r="A334" s="11"/>
      <c r="B334" s="13" t="s">
        <v>38</v>
      </c>
      <c r="C334" s="23"/>
      <c r="D334" s="33">
        <v>50</v>
      </c>
      <c r="E334" s="33">
        <v>50</v>
      </c>
      <c r="F334" s="8">
        <v>0.1</v>
      </c>
      <c r="G334" s="8">
        <v>0</v>
      </c>
      <c r="H334" s="8">
        <v>0</v>
      </c>
      <c r="I334" s="8">
        <v>0.8</v>
      </c>
      <c r="J334" s="9">
        <v>12.4</v>
      </c>
      <c r="K334" s="8">
        <v>2.5</v>
      </c>
      <c r="L334" s="8">
        <v>2.2</v>
      </c>
      <c r="M334" s="9">
        <v>4.12</v>
      </c>
      <c r="N334" s="8">
        <v>0.4</v>
      </c>
      <c r="O334" s="8">
        <v>0</v>
      </c>
      <c r="P334" s="8">
        <v>0</v>
      </c>
      <c r="Q334" s="8">
        <v>0</v>
      </c>
      <c r="R334" s="34">
        <v>0</v>
      </c>
      <c r="S334" s="8">
        <v>0</v>
      </c>
    </row>
    <row r="335" spans="1:19" ht="12.75">
      <c r="A335" s="11"/>
      <c r="B335" s="13" t="s">
        <v>28</v>
      </c>
      <c r="C335" s="23"/>
      <c r="D335" s="33">
        <v>15</v>
      </c>
      <c r="E335" s="33">
        <v>15</v>
      </c>
      <c r="F335" s="8">
        <v>0</v>
      </c>
      <c r="G335" s="8">
        <v>0</v>
      </c>
      <c r="H335" s="8">
        <v>15</v>
      </c>
      <c r="I335" s="8">
        <v>56.9</v>
      </c>
      <c r="J335" s="9">
        <v>0.5</v>
      </c>
      <c r="K335" s="8">
        <v>0.4</v>
      </c>
      <c r="L335" s="8">
        <v>0</v>
      </c>
      <c r="M335" s="9">
        <v>0</v>
      </c>
      <c r="N335" s="8">
        <v>0</v>
      </c>
      <c r="O335" s="8">
        <v>0</v>
      </c>
      <c r="P335" s="8">
        <v>0</v>
      </c>
      <c r="Q335" s="8">
        <v>0</v>
      </c>
      <c r="R335" s="34">
        <v>0</v>
      </c>
      <c r="S335" s="8">
        <v>0</v>
      </c>
    </row>
    <row r="336" spans="1:19" ht="12.75">
      <c r="A336" s="11"/>
      <c r="B336" s="13" t="s">
        <v>33</v>
      </c>
      <c r="C336" s="23"/>
      <c r="D336" s="33">
        <v>150</v>
      </c>
      <c r="E336" s="33">
        <v>150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34">
        <v>0</v>
      </c>
      <c r="S336" s="8">
        <v>0</v>
      </c>
    </row>
    <row r="337" spans="1:19" ht="12.75">
      <c r="A337" s="11" t="s">
        <v>23</v>
      </c>
      <c r="B337" s="5" t="s">
        <v>89</v>
      </c>
      <c r="C337" s="5">
        <v>20</v>
      </c>
      <c r="D337" s="8">
        <v>20</v>
      </c>
      <c r="E337" s="38">
        <v>20</v>
      </c>
      <c r="F337" s="3">
        <f>7.7*E337/100</f>
        <v>1.54</v>
      </c>
      <c r="G337" s="3">
        <v>5.4</v>
      </c>
      <c r="H337" s="3">
        <f>49.8*E337/100</f>
        <v>9.96</v>
      </c>
      <c r="I337" s="3">
        <f>262*E337/100</f>
        <v>52.4</v>
      </c>
      <c r="J337" s="3">
        <f>127*E337/100</f>
        <v>25.4</v>
      </c>
      <c r="K337" s="3">
        <f>26*E337/100</f>
        <v>5.2</v>
      </c>
      <c r="L337" s="3">
        <f>35*E337/100</f>
        <v>7</v>
      </c>
      <c r="M337" s="3">
        <f>83*E337/100</f>
        <v>16.6</v>
      </c>
      <c r="N337" s="3">
        <f>1.6*E337/100</f>
        <v>0.32</v>
      </c>
      <c r="O337" s="3">
        <v>0</v>
      </c>
      <c r="P337" s="3">
        <v>0</v>
      </c>
      <c r="Q337" s="3">
        <v>0</v>
      </c>
      <c r="R337" s="3">
        <f>1.54*E337/100</f>
        <v>0.308</v>
      </c>
      <c r="S337" s="3">
        <v>0</v>
      </c>
    </row>
    <row r="338" spans="1:19" ht="12.75">
      <c r="A338" s="3" t="s">
        <v>138</v>
      </c>
      <c r="B338" s="5" t="s">
        <v>139</v>
      </c>
      <c r="C338" s="5">
        <v>20</v>
      </c>
      <c r="D338" s="23">
        <v>20</v>
      </c>
      <c r="E338" s="23">
        <v>20</v>
      </c>
      <c r="F338" s="3">
        <f>6.6*E338/100</f>
        <v>1.32</v>
      </c>
      <c r="G338" s="3">
        <f>1.2*E338/100</f>
        <v>0.24</v>
      </c>
      <c r="H338" s="3">
        <f>34.2*E338/100</f>
        <v>6.84</v>
      </c>
      <c r="I338" s="3">
        <f>181*E338/100</f>
        <v>36.2</v>
      </c>
      <c r="J338" s="3">
        <f>94*E338/100</f>
        <v>18.8</v>
      </c>
      <c r="K338" s="3">
        <f>34*E338/100</f>
        <v>6.8</v>
      </c>
      <c r="L338" s="3">
        <f>41*E338/100</f>
        <v>8.2</v>
      </c>
      <c r="M338" s="3">
        <f>120*E338/100</f>
        <v>24</v>
      </c>
      <c r="N338" s="3">
        <f>2.3*E338/100</f>
        <v>0.46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</row>
    <row r="339" spans="1:19" ht="12.75">
      <c r="A339" s="3"/>
      <c r="B339" s="2" t="s">
        <v>162</v>
      </c>
      <c r="C339" s="2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ht="12.75">
      <c r="A340" s="11" t="s">
        <v>78</v>
      </c>
      <c r="B340" s="5" t="s">
        <v>79</v>
      </c>
      <c r="C340" s="5">
        <v>60</v>
      </c>
      <c r="D340" s="15"/>
      <c r="E340" s="3">
        <v>60</v>
      </c>
      <c r="F340" s="3">
        <f>F341</f>
        <v>6.6</v>
      </c>
      <c r="G340" s="3">
        <f aca="true" t="shared" si="35" ref="G340:S340">G341</f>
        <v>14.34</v>
      </c>
      <c r="H340" s="3">
        <f t="shared" si="35"/>
        <v>0</v>
      </c>
      <c r="I340" s="3">
        <f t="shared" si="35"/>
        <v>156.6</v>
      </c>
      <c r="J340" s="3">
        <f t="shared" si="35"/>
        <v>132</v>
      </c>
      <c r="K340" s="3">
        <f t="shared" si="35"/>
        <v>21</v>
      </c>
      <c r="L340" s="3">
        <f t="shared" si="35"/>
        <v>12</v>
      </c>
      <c r="M340" s="3">
        <f t="shared" si="35"/>
        <v>95.4</v>
      </c>
      <c r="N340" s="3">
        <f t="shared" si="35"/>
        <v>1.08</v>
      </c>
      <c r="O340" s="3">
        <f t="shared" si="35"/>
        <v>0</v>
      </c>
      <c r="P340" s="3">
        <f t="shared" si="35"/>
        <v>0</v>
      </c>
      <c r="Q340" s="3">
        <f t="shared" si="35"/>
        <v>0</v>
      </c>
      <c r="R340" s="3">
        <f t="shared" si="35"/>
        <v>1.38</v>
      </c>
      <c r="S340" s="3">
        <f t="shared" si="35"/>
        <v>0</v>
      </c>
    </row>
    <row r="341" spans="1:19" ht="12.75">
      <c r="A341" s="11"/>
      <c r="B341" s="18" t="s">
        <v>80</v>
      </c>
      <c r="C341" s="18"/>
      <c r="D341" s="15">
        <v>61</v>
      </c>
      <c r="E341" s="15">
        <v>60</v>
      </c>
      <c r="F341" s="15">
        <f>11*E341/100</f>
        <v>6.6</v>
      </c>
      <c r="G341" s="15">
        <f>23.9*E341/100</f>
        <v>14.34</v>
      </c>
      <c r="H341" s="17">
        <v>0</v>
      </c>
      <c r="I341" s="15">
        <f>261*E341/100</f>
        <v>156.6</v>
      </c>
      <c r="J341" s="16">
        <f>220*E341/100</f>
        <v>132</v>
      </c>
      <c r="K341" s="17">
        <f>35*E341/100</f>
        <v>21</v>
      </c>
      <c r="L341" s="15">
        <f>20*E341/100</f>
        <v>12</v>
      </c>
      <c r="M341" s="15">
        <f>159*E341/100</f>
        <v>95.4</v>
      </c>
      <c r="N341" s="15">
        <f>1.8*E341/100</f>
        <v>1.08</v>
      </c>
      <c r="O341" s="15">
        <v>0</v>
      </c>
      <c r="P341" s="15">
        <v>0</v>
      </c>
      <c r="Q341" s="15">
        <v>0</v>
      </c>
      <c r="R341" s="15">
        <f>2.3*E341/100</f>
        <v>1.38</v>
      </c>
      <c r="S341" s="15">
        <v>0</v>
      </c>
    </row>
    <row r="342" spans="1:19" ht="22.5" customHeight="1">
      <c r="A342" s="11" t="s">
        <v>71</v>
      </c>
      <c r="B342" s="5" t="s">
        <v>72</v>
      </c>
      <c r="C342" s="5">
        <v>150</v>
      </c>
      <c r="D342" s="15"/>
      <c r="E342" s="3"/>
      <c r="F342" s="3">
        <f>F343+F344+F345</f>
        <v>8.928999999999998</v>
      </c>
      <c r="G342" s="3">
        <f aca="true" t="shared" si="36" ref="G342:S342">G343+G344+G345</f>
        <v>0.6260000000000001</v>
      </c>
      <c r="H342" s="3">
        <f t="shared" si="36"/>
        <v>68.59700000000001</v>
      </c>
      <c r="I342" s="3">
        <f t="shared" si="36"/>
        <v>173.02</v>
      </c>
      <c r="J342" s="3">
        <f t="shared" si="36"/>
        <v>64.34</v>
      </c>
      <c r="K342" s="3">
        <f t="shared" si="36"/>
        <v>9.33</v>
      </c>
      <c r="L342" s="3">
        <f t="shared" si="36"/>
        <v>9.11</v>
      </c>
      <c r="M342" s="3">
        <f t="shared" si="36"/>
        <v>44.37</v>
      </c>
      <c r="N342" s="3">
        <f t="shared" si="36"/>
        <v>0.612</v>
      </c>
      <c r="O342" s="3">
        <f t="shared" si="36"/>
        <v>0</v>
      </c>
      <c r="P342" s="3">
        <f t="shared" si="36"/>
        <v>0</v>
      </c>
      <c r="Q342" s="3">
        <f t="shared" si="36"/>
        <v>0</v>
      </c>
      <c r="R342" s="3">
        <f t="shared" si="36"/>
        <v>0</v>
      </c>
      <c r="S342" s="3">
        <f t="shared" si="36"/>
        <v>0</v>
      </c>
    </row>
    <row r="343" spans="1:19" ht="12.75">
      <c r="A343" s="11"/>
      <c r="B343" s="18" t="s">
        <v>73</v>
      </c>
      <c r="C343" s="18"/>
      <c r="D343" s="15">
        <v>51</v>
      </c>
      <c r="E343" s="15">
        <v>51</v>
      </c>
      <c r="F343" s="15">
        <f>10.4*E343/100</f>
        <v>5.303999999999999</v>
      </c>
      <c r="G343" s="15">
        <f>1.1*E343/100</f>
        <v>0.561</v>
      </c>
      <c r="H343" s="15">
        <f>69.7*E343/100</f>
        <v>35.547000000000004</v>
      </c>
      <c r="I343" s="15">
        <f>337*E343/100</f>
        <v>171.87</v>
      </c>
      <c r="J343" s="17">
        <f>124*E343/100</f>
        <v>63.24</v>
      </c>
      <c r="K343" s="15">
        <f>18*E343/100</f>
        <v>9.18</v>
      </c>
      <c r="L343" s="15">
        <f>16*E343/100</f>
        <v>8.16</v>
      </c>
      <c r="M343" s="15">
        <f>87*E343/100</f>
        <v>44.37</v>
      </c>
      <c r="N343" s="15">
        <f>1.2*E343/100</f>
        <v>0.612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</row>
    <row r="344" spans="1:19" ht="12.75">
      <c r="A344" s="11"/>
      <c r="B344" s="18" t="s">
        <v>46</v>
      </c>
      <c r="C344" s="18"/>
      <c r="D344" s="15">
        <v>1</v>
      </c>
      <c r="E344" s="15">
        <v>1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</row>
    <row r="345" spans="1:19" ht="12.75">
      <c r="A345" s="11"/>
      <c r="B345" s="18" t="s">
        <v>35</v>
      </c>
      <c r="C345" s="18"/>
      <c r="D345" s="15">
        <v>5</v>
      </c>
      <c r="E345" s="15">
        <v>5</v>
      </c>
      <c r="F345" s="15">
        <f>72.5*D345/100</f>
        <v>3.625</v>
      </c>
      <c r="G345" s="15">
        <f>1.3*D345/100</f>
        <v>0.065</v>
      </c>
      <c r="H345" s="15">
        <f>661*D345/100</f>
        <v>33.05</v>
      </c>
      <c r="I345" s="15">
        <f>23*D345/100</f>
        <v>1.15</v>
      </c>
      <c r="J345" s="17">
        <f>22*D345/100</f>
        <v>1.1</v>
      </c>
      <c r="K345" s="15">
        <f>3*D345/100</f>
        <v>0.15</v>
      </c>
      <c r="L345" s="17">
        <f>19*D345/100</f>
        <v>0.95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38">
        <v>0</v>
      </c>
    </row>
    <row r="346" spans="1:19" ht="12.75">
      <c r="A346" s="11" t="s">
        <v>74</v>
      </c>
      <c r="B346" s="5" t="s">
        <v>75</v>
      </c>
      <c r="C346" s="39">
        <v>200</v>
      </c>
      <c r="D346" s="23"/>
      <c r="E346" s="2"/>
      <c r="F346" s="3">
        <f aca="true" t="shared" si="37" ref="F346:S346">SUM(F347:F349)</f>
        <v>0.1</v>
      </c>
      <c r="G346" s="3">
        <f t="shared" si="37"/>
        <v>0</v>
      </c>
      <c r="H346" s="3">
        <f t="shared" si="37"/>
        <v>15</v>
      </c>
      <c r="I346" s="3">
        <f t="shared" si="37"/>
        <v>57.699999999999996</v>
      </c>
      <c r="J346" s="3">
        <f t="shared" si="37"/>
        <v>12.9</v>
      </c>
      <c r="K346" s="3">
        <f t="shared" si="37"/>
        <v>2.9</v>
      </c>
      <c r="L346" s="3">
        <f t="shared" si="37"/>
        <v>2.2</v>
      </c>
      <c r="M346" s="3">
        <f t="shared" si="37"/>
        <v>4.12</v>
      </c>
      <c r="N346" s="3">
        <f t="shared" si="37"/>
        <v>0.4</v>
      </c>
      <c r="O346" s="3">
        <f t="shared" si="37"/>
        <v>0</v>
      </c>
      <c r="P346" s="3">
        <f t="shared" si="37"/>
        <v>0</v>
      </c>
      <c r="Q346" s="3">
        <f t="shared" si="37"/>
        <v>0</v>
      </c>
      <c r="R346" s="32">
        <f t="shared" si="37"/>
        <v>0</v>
      </c>
      <c r="S346" s="3">
        <f t="shared" si="37"/>
        <v>0</v>
      </c>
    </row>
    <row r="347" spans="1:19" ht="26.25" customHeight="1">
      <c r="A347" s="11"/>
      <c r="B347" s="13" t="s">
        <v>38</v>
      </c>
      <c r="C347" s="23"/>
      <c r="D347" s="33">
        <v>50</v>
      </c>
      <c r="E347" s="33">
        <v>50</v>
      </c>
      <c r="F347" s="8">
        <v>0.1</v>
      </c>
      <c r="G347" s="8">
        <v>0</v>
      </c>
      <c r="H347" s="8">
        <v>0</v>
      </c>
      <c r="I347" s="8">
        <v>0.8</v>
      </c>
      <c r="J347" s="9">
        <v>12.4</v>
      </c>
      <c r="K347" s="8">
        <v>2.5</v>
      </c>
      <c r="L347" s="8">
        <v>2.2</v>
      </c>
      <c r="M347" s="9">
        <v>4.12</v>
      </c>
      <c r="N347" s="8">
        <v>0.4</v>
      </c>
      <c r="O347" s="8">
        <v>0</v>
      </c>
      <c r="P347" s="8">
        <v>0</v>
      </c>
      <c r="Q347" s="8">
        <v>0</v>
      </c>
      <c r="R347" s="34">
        <v>0</v>
      </c>
      <c r="S347" s="8">
        <v>0</v>
      </c>
    </row>
    <row r="348" spans="1:19" ht="12.75">
      <c r="A348" s="11"/>
      <c r="B348" s="13" t="s">
        <v>28</v>
      </c>
      <c r="C348" s="23"/>
      <c r="D348" s="33">
        <v>15</v>
      </c>
      <c r="E348" s="33">
        <v>15</v>
      </c>
      <c r="F348" s="8">
        <v>0</v>
      </c>
      <c r="G348" s="8">
        <v>0</v>
      </c>
      <c r="H348" s="8">
        <v>15</v>
      </c>
      <c r="I348" s="8">
        <v>56.9</v>
      </c>
      <c r="J348" s="9">
        <v>0.5</v>
      </c>
      <c r="K348" s="8">
        <v>0.4</v>
      </c>
      <c r="L348" s="8">
        <v>0</v>
      </c>
      <c r="M348" s="9">
        <v>0</v>
      </c>
      <c r="N348" s="8">
        <v>0</v>
      </c>
      <c r="O348" s="8">
        <v>0</v>
      </c>
      <c r="P348" s="8">
        <v>0</v>
      </c>
      <c r="Q348" s="8">
        <v>0</v>
      </c>
      <c r="R348" s="34">
        <v>0</v>
      </c>
      <c r="S348" s="8">
        <v>0</v>
      </c>
    </row>
    <row r="349" spans="1:19" ht="12.75">
      <c r="A349" s="11"/>
      <c r="B349" s="13" t="s">
        <v>33</v>
      </c>
      <c r="C349" s="23"/>
      <c r="D349" s="33">
        <v>150</v>
      </c>
      <c r="E349" s="33">
        <v>150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34">
        <v>0</v>
      </c>
      <c r="S349" s="8">
        <v>0</v>
      </c>
    </row>
    <row r="350" spans="1:19" ht="12.75">
      <c r="A350" s="11" t="s">
        <v>23</v>
      </c>
      <c r="B350" s="5" t="s">
        <v>89</v>
      </c>
      <c r="C350" s="5">
        <v>20</v>
      </c>
      <c r="D350" s="8">
        <v>20</v>
      </c>
      <c r="E350" s="38">
        <v>20</v>
      </c>
      <c r="F350" s="3">
        <f>7.7*E350/100</f>
        <v>1.54</v>
      </c>
      <c r="G350" s="3">
        <v>5.4</v>
      </c>
      <c r="H350" s="3">
        <f>49.8*E350/100</f>
        <v>9.96</v>
      </c>
      <c r="I350" s="3">
        <f>262*E350/100</f>
        <v>52.4</v>
      </c>
      <c r="J350" s="3">
        <f>127*E350/100</f>
        <v>25.4</v>
      </c>
      <c r="K350" s="3">
        <f>26*E350/100</f>
        <v>5.2</v>
      </c>
      <c r="L350" s="3">
        <f>35*E350/100</f>
        <v>7</v>
      </c>
      <c r="M350" s="3">
        <f>83*E350/100</f>
        <v>16.6</v>
      </c>
      <c r="N350" s="3">
        <f>1.6*E350/100</f>
        <v>0.32</v>
      </c>
      <c r="O350" s="3">
        <v>0</v>
      </c>
      <c r="P350" s="3">
        <v>0</v>
      </c>
      <c r="Q350" s="3">
        <v>0</v>
      </c>
      <c r="R350" s="3">
        <f>1.54*E350/100</f>
        <v>0.308</v>
      </c>
      <c r="S350" s="3">
        <v>0</v>
      </c>
    </row>
    <row r="351" spans="1:19" ht="12.75">
      <c r="A351" s="3" t="s">
        <v>138</v>
      </c>
      <c r="B351" s="5" t="s">
        <v>139</v>
      </c>
      <c r="C351" s="5">
        <v>20</v>
      </c>
      <c r="D351" s="23">
        <v>20</v>
      </c>
      <c r="E351" s="23">
        <v>20</v>
      </c>
      <c r="F351" s="3">
        <f>6.6*E351/100</f>
        <v>1.32</v>
      </c>
      <c r="G351" s="3">
        <f>1.2*E351/100</f>
        <v>0.24</v>
      </c>
      <c r="H351" s="3">
        <f>34.2*E351/100</f>
        <v>6.84</v>
      </c>
      <c r="I351" s="3">
        <f>181*E351/100</f>
        <v>36.2</v>
      </c>
      <c r="J351" s="3">
        <f>94*E351/100</f>
        <v>18.8</v>
      </c>
      <c r="K351" s="3">
        <f>34*E351/100</f>
        <v>6.8</v>
      </c>
      <c r="L351" s="3">
        <f>41*E351/100</f>
        <v>8.2</v>
      </c>
      <c r="M351" s="3">
        <f>120*E351/100</f>
        <v>24</v>
      </c>
      <c r="N351" s="3">
        <f>2.3*E351/100</f>
        <v>0.46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</row>
    <row r="352" spans="1:19" ht="12.75">
      <c r="A352" s="3"/>
      <c r="B352" s="2" t="s">
        <v>63</v>
      </c>
      <c r="C352" s="2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ht="12.75">
      <c r="A353" s="11"/>
      <c r="B353" s="2" t="s">
        <v>205</v>
      </c>
      <c r="C353" s="23"/>
      <c r="D353" s="98"/>
      <c r="E353" s="9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11" t="s">
        <v>201</v>
      </c>
      <c r="B354" s="29" t="s">
        <v>202</v>
      </c>
      <c r="C354" s="39">
        <v>105</v>
      </c>
      <c r="D354" s="23"/>
      <c r="E354" s="3"/>
      <c r="F354" s="3">
        <f aca="true" t="shared" si="38" ref="F354:S354">F355+F356+F357+F358</f>
        <v>16.075</v>
      </c>
      <c r="G354" s="3">
        <f t="shared" si="38"/>
        <v>10.251</v>
      </c>
      <c r="H354" s="3">
        <f t="shared" si="38"/>
        <v>47.68</v>
      </c>
      <c r="I354" s="3">
        <f t="shared" si="38"/>
        <v>144.61</v>
      </c>
      <c r="J354" s="3">
        <f t="shared" si="38"/>
        <v>157.34</v>
      </c>
      <c r="K354" s="3">
        <f t="shared" si="38"/>
        <v>80.21</v>
      </c>
      <c r="L354" s="3">
        <f t="shared" si="38"/>
        <v>15.13</v>
      </c>
      <c r="M354" s="3">
        <f t="shared" si="38"/>
        <v>180.6</v>
      </c>
      <c r="N354" s="3">
        <f t="shared" si="38"/>
        <v>2</v>
      </c>
      <c r="O354" s="3">
        <f t="shared" si="38"/>
        <v>0</v>
      </c>
      <c r="P354" s="3">
        <f t="shared" si="38"/>
        <v>0</v>
      </c>
      <c r="Q354" s="3">
        <f t="shared" si="38"/>
        <v>0</v>
      </c>
      <c r="R354" s="3">
        <f t="shared" si="38"/>
        <v>0</v>
      </c>
      <c r="S354" s="3">
        <f t="shared" si="38"/>
        <v>0.39</v>
      </c>
    </row>
    <row r="355" spans="1:19" ht="12.75">
      <c r="A355" s="11"/>
      <c r="B355" s="94" t="s">
        <v>203</v>
      </c>
      <c r="C355" s="95"/>
      <c r="D355" s="23">
        <v>80</v>
      </c>
      <c r="E355" s="23">
        <v>80</v>
      </c>
      <c r="F355" s="23">
        <f>12.7*E355/100</f>
        <v>10.16</v>
      </c>
      <c r="G355" s="23">
        <f>11.5*E355/100</f>
        <v>9.2</v>
      </c>
      <c r="H355" s="23">
        <v>0</v>
      </c>
      <c r="I355" s="23">
        <f>157*E355/100</f>
        <v>125.6</v>
      </c>
      <c r="J355" s="23">
        <f>140*E355/100</f>
        <v>112</v>
      </c>
      <c r="K355" s="23">
        <f>55*E355/100</f>
        <v>44</v>
      </c>
      <c r="L355" s="23">
        <f>12*E355/100</f>
        <v>9.6</v>
      </c>
      <c r="M355" s="23">
        <f>192*E355/100</f>
        <v>153.6</v>
      </c>
      <c r="N355" s="23">
        <f>2.5*E355/100</f>
        <v>2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</row>
    <row r="356" spans="1:19" ht="12.75">
      <c r="A356" s="11"/>
      <c r="B356" s="94" t="s">
        <v>27</v>
      </c>
      <c r="C356" s="95"/>
      <c r="D356" s="23">
        <v>30</v>
      </c>
      <c r="E356" s="23">
        <v>30</v>
      </c>
      <c r="F356" s="8">
        <f>2.8*E356/100</f>
        <v>0.84</v>
      </c>
      <c r="G356" s="8">
        <f>3.2*E356/100</f>
        <v>0.96</v>
      </c>
      <c r="H356" s="8">
        <f>4.7*E356/100</f>
        <v>1.41</v>
      </c>
      <c r="I356" s="8">
        <f>58*E356/100</f>
        <v>17.4</v>
      </c>
      <c r="J356" s="8">
        <f>146*E356/100</f>
        <v>43.8</v>
      </c>
      <c r="K356" s="9">
        <f>120*E356/100</f>
        <v>36</v>
      </c>
      <c r="L356" s="8">
        <f>14*E356/100</f>
        <v>4.2</v>
      </c>
      <c r="M356" s="9">
        <f>90*E356/100</f>
        <v>27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f>1.3*E356/100</f>
        <v>0.39</v>
      </c>
    </row>
    <row r="357" spans="1:19" ht="12.75">
      <c r="A357" s="11"/>
      <c r="B357" s="94" t="s">
        <v>46</v>
      </c>
      <c r="C357" s="95"/>
      <c r="D357" s="23">
        <v>1</v>
      </c>
      <c r="E357" s="23">
        <v>1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</row>
    <row r="358" spans="1:19" ht="12.75">
      <c r="A358" s="11"/>
      <c r="B358" s="94" t="s">
        <v>204</v>
      </c>
      <c r="C358" s="95"/>
      <c r="D358" s="23">
        <v>7</v>
      </c>
      <c r="E358" s="23">
        <v>7</v>
      </c>
      <c r="F358" s="8">
        <f>72.5*D358/100</f>
        <v>5.075</v>
      </c>
      <c r="G358" s="8">
        <f>1.3*D358/100</f>
        <v>0.091</v>
      </c>
      <c r="H358" s="8">
        <f>661*D358/100</f>
        <v>46.27</v>
      </c>
      <c r="I358" s="8">
        <f>23*D358/100</f>
        <v>1.61</v>
      </c>
      <c r="J358" s="9">
        <f>22*D358/100</f>
        <v>1.54</v>
      </c>
      <c r="K358" s="8">
        <f>3*D358/100</f>
        <v>0.21</v>
      </c>
      <c r="L358" s="9">
        <f>19*D358/100</f>
        <v>1.33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38">
        <v>0</v>
      </c>
    </row>
    <row r="359" spans="1:19" ht="12.75">
      <c r="A359" s="11"/>
      <c r="B359" s="14" t="s">
        <v>48</v>
      </c>
      <c r="C359" s="96"/>
      <c r="D359" s="6"/>
      <c r="E359" s="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11" t="s">
        <v>23</v>
      </c>
      <c r="B360" s="5" t="s">
        <v>89</v>
      </c>
      <c r="C360" s="5">
        <v>20</v>
      </c>
      <c r="D360" s="8">
        <v>20</v>
      </c>
      <c r="E360" s="38">
        <v>20</v>
      </c>
      <c r="F360" s="3">
        <f>7.7*E360/100</f>
        <v>1.54</v>
      </c>
      <c r="G360" s="3">
        <f>3*E360/100</f>
        <v>0.6</v>
      </c>
      <c r="H360" s="3">
        <f>49.8*E360/100</f>
        <v>9.96</v>
      </c>
      <c r="I360" s="3">
        <f>262*E360/100</f>
        <v>52.4</v>
      </c>
      <c r="J360" s="3">
        <f>127*E360/100</f>
        <v>25.4</v>
      </c>
      <c r="K360" s="3">
        <f>26*E360/100</f>
        <v>5.2</v>
      </c>
      <c r="L360" s="3">
        <f>35*E360/100</f>
        <v>7</v>
      </c>
      <c r="M360" s="3">
        <f>83*E360/100</f>
        <v>16.6</v>
      </c>
      <c r="N360" s="3">
        <f>1.6*E360/100</f>
        <v>0.32</v>
      </c>
      <c r="O360" s="3">
        <v>0</v>
      </c>
      <c r="P360" s="3">
        <v>0</v>
      </c>
      <c r="Q360" s="3">
        <v>0</v>
      </c>
      <c r="R360" s="3">
        <f>1.54*E360/100</f>
        <v>0.308</v>
      </c>
      <c r="S360" s="3">
        <v>0</v>
      </c>
    </row>
    <row r="361" spans="1:19" ht="12.75">
      <c r="A361" s="11" t="s">
        <v>74</v>
      </c>
      <c r="B361" s="5" t="s">
        <v>75</v>
      </c>
      <c r="C361" s="39">
        <v>200</v>
      </c>
      <c r="D361" s="23"/>
      <c r="E361" s="2"/>
      <c r="F361" s="3">
        <f aca="true" t="shared" si="39" ref="F361:S361">SUM(F362:F364)</f>
        <v>0.1</v>
      </c>
      <c r="G361" s="3">
        <f t="shared" si="39"/>
        <v>0</v>
      </c>
      <c r="H361" s="3">
        <f t="shared" si="39"/>
        <v>15</v>
      </c>
      <c r="I361" s="3">
        <f t="shared" si="39"/>
        <v>57.699999999999996</v>
      </c>
      <c r="J361" s="3">
        <f t="shared" si="39"/>
        <v>12.9</v>
      </c>
      <c r="K361" s="3">
        <f t="shared" si="39"/>
        <v>2.9</v>
      </c>
      <c r="L361" s="3">
        <f t="shared" si="39"/>
        <v>2.2</v>
      </c>
      <c r="M361" s="3">
        <f t="shared" si="39"/>
        <v>4.12</v>
      </c>
      <c r="N361" s="3">
        <f t="shared" si="39"/>
        <v>0.4</v>
      </c>
      <c r="O361" s="3">
        <f t="shared" si="39"/>
        <v>0</v>
      </c>
      <c r="P361" s="3">
        <f t="shared" si="39"/>
        <v>0</v>
      </c>
      <c r="Q361" s="3">
        <f t="shared" si="39"/>
        <v>0</v>
      </c>
      <c r="R361" s="32">
        <f t="shared" si="39"/>
        <v>0</v>
      </c>
      <c r="S361" s="3">
        <f t="shared" si="39"/>
        <v>0</v>
      </c>
    </row>
    <row r="362" spans="1:19" ht="12.75">
      <c r="A362" s="11"/>
      <c r="B362" s="13" t="s">
        <v>38</v>
      </c>
      <c r="C362" s="23"/>
      <c r="D362" s="33">
        <v>50</v>
      </c>
      <c r="E362" s="33">
        <v>50</v>
      </c>
      <c r="F362" s="8">
        <v>0.1</v>
      </c>
      <c r="G362" s="8">
        <v>0</v>
      </c>
      <c r="H362" s="8">
        <v>0</v>
      </c>
      <c r="I362" s="8">
        <v>0.8</v>
      </c>
      <c r="J362" s="9">
        <v>12.4</v>
      </c>
      <c r="K362" s="8">
        <v>2.5</v>
      </c>
      <c r="L362" s="8">
        <v>2.2</v>
      </c>
      <c r="M362" s="9">
        <v>4.12</v>
      </c>
      <c r="N362" s="8">
        <v>0.4</v>
      </c>
      <c r="O362" s="8">
        <v>0</v>
      </c>
      <c r="P362" s="8">
        <v>0</v>
      </c>
      <c r="Q362" s="8">
        <v>0</v>
      </c>
      <c r="R362" s="34">
        <v>0</v>
      </c>
      <c r="S362" s="8">
        <v>0</v>
      </c>
    </row>
    <row r="363" spans="1:19" ht="12.75">
      <c r="A363" s="11"/>
      <c r="B363" s="13" t="s">
        <v>28</v>
      </c>
      <c r="C363" s="23"/>
      <c r="D363" s="33">
        <v>15</v>
      </c>
      <c r="E363" s="33">
        <v>15</v>
      </c>
      <c r="F363" s="8">
        <v>0</v>
      </c>
      <c r="G363" s="8">
        <v>0</v>
      </c>
      <c r="H363" s="8">
        <v>15</v>
      </c>
      <c r="I363" s="8">
        <v>56.9</v>
      </c>
      <c r="J363" s="9">
        <v>0.5</v>
      </c>
      <c r="K363" s="8">
        <v>0.4</v>
      </c>
      <c r="L363" s="8">
        <v>0</v>
      </c>
      <c r="M363" s="9">
        <v>0</v>
      </c>
      <c r="N363" s="8">
        <v>0</v>
      </c>
      <c r="O363" s="8">
        <v>0</v>
      </c>
      <c r="P363" s="8">
        <v>0</v>
      </c>
      <c r="Q363" s="8">
        <v>0</v>
      </c>
      <c r="R363" s="34">
        <v>0</v>
      </c>
      <c r="S363" s="8">
        <v>0</v>
      </c>
    </row>
    <row r="364" spans="1:19" ht="12.75">
      <c r="A364" s="11"/>
      <c r="B364" s="13" t="s">
        <v>33</v>
      </c>
      <c r="C364" s="23"/>
      <c r="D364" s="33">
        <v>150</v>
      </c>
      <c r="E364" s="33">
        <v>150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34">
        <v>0</v>
      </c>
      <c r="S364" s="8">
        <v>0</v>
      </c>
    </row>
    <row r="365" spans="1:19" ht="16.5" customHeight="1">
      <c r="A365" s="3"/>
      <c r="B365" s="2" t="s">
        <v>1</v>
      </c>
      <c r="C365" s="2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ht="27" customHeight="1">
      <c r="A366" s="11" t="s">
        <v>55</v>
      </c>
      <c r="B366" s="20" t="s">
        <v>173</v>
      </c>
      <c r="C366" s="20">
        <v>250</v>
      </c>
      <c r="D366" s="23"/>
      <c r="E366" s="3"/>
      <c r="F366" s="3">
        <v>3.08</v>
      </c>
      <c r="G366" s="3">
        <v>6.1</v>
      </c>
      <c r="H366" s="3">
        <v>17.29</v>
      </c>
      <c r="I366" s="3">
        <v>138.55</v>
      </c>
      <c r="J366" s="3">
        <v>482.2</v>
      </c>
      <c r="K366" s="3">
        <v>20.2</v>
      </c>
      <c r="L366" s="3">
        <v>50.5</v>
      </c>
      <c r="M366" s="3">
        <v>29.98</v>
      </c>
      <c r="N366" s="3">
        <v>0.41</v>
      </c>
      <c r="O366" s="3">
        <v>0.09</v>
      </c>
      <c r="P366" s="3">
        <v>0</v>
      </c>
      <c r="Q366" s="3">
        <v>0</v>
      </c>
      <c r="R366" s="3">
        <v>1.15</v>
      </c>
      <c r="S366" s="3">
        <v>16.75</v>
      </c>
    </row>
    <row r="367" spans="1:19" ht="16.5" customHeight="1">
      <c r="A367" s="11"/>
      <c r="B367" s="27" t="s">
        <v>29</v>
      </c>
      <c r="C367" s="27"/>
      <c r="D367" s="23">
        <v>100</v>
      </c>
      <c r="E367" s="23">
        <v>75</v>
      </c>
      <c r="F367" s="23">
        <v>1.5</v>
      </c>
      <c r="G367" s="23">
        <v>0.3</v>
      </c>
      <c r="H367" s="23">
        <v>12.23</v>
      </c>
      <c r="I367" s="23">
        <v>57.75</v>
      </c>
      <c r="J367" s="23">
        <v>426</v>
      </c>
      <c r="K367" s="23">
        <v>7.5</v>
      </c>
      <c r="L367" s="23">
        <v>43.5</v>
      </c>
      <c r="M367" s="23">
        <v>0.68</v>
      </c>
      <c r="N367" s="23">
        <v>0</v>
      </c>
      <c r="O367" s="23">
        <v>0.09</v>
      </c>
      <c r="P367" s="23">
        <v>0</v>
      </c>
      <c r="Q367" s="23">
        <v>0</v>
      </c>
      <c r="R367" s="23">
        <v>0.98</v>
      </c>
      <c r="S367" s="23">
        <v>15</v>
      </c>
    </row>
    <row r="368" spans="1:19" ht="16.5" customHeight="1">
      <c r="A368" s="11"/>
      <c r="B368" s="27" t="s">
        <v>56</v>
      </c>
      <c r="C368" s="27"/>
      <c r="D368" s="23">
        <v>5</v>
      </c>
      <c r="E368" s="23">
        <v>5</v>
      </c>
      <c r="F368" s="23">
        <v>0.63</v>
      </c>
      <c r="G368" s="23">
        <v>0</v>
      </c>
      <c r="H368" s="23">
        <v>3.6</v>
      </c>
      <c r="I368" s="23">
        <v>16.3</v>
      </c>
      <c r="J368" s="23">
        <v>0</v>
      </c>
      <c r="K368" s="23">
        <v>0</v>
      </c>
      <c r="L368" s="23">
        <v>0</v>
      </c>
      <c r="M368" s="23">
        <v>13.8</v>
      </c>
      <c r="N368" s="23">
        <v>0.34</v>
      </c>
      <c r="O368" s="23">
        <v>0</v>
      </c>
      <c r="P368" s="23">
        <v>0</v>
      </c>
      <c r="Q368" s="23">
        <v>0</v>
      </c>
      <c r="R368" s="23">
        <v>0.07</v>
      </c>
      <c r="S368" s="23">
        <v>0</v>
      </c>
    </row>
    <row r="369" spans="1:19" ht="16.5" customHeight="1">
      <c r="A369" s="11"/>
      <c r="B369" s="27" t="s">
        <v>30</v>
      </c>
      <c r="C369" s="27"/>
      <c r="D369" s="23">
        <v>12.5</v>
      </c>
      <c r="E369" s="23">
        <v>10</v>
      </c>
      <c r="F369" s="23">
        <v>0.13</v>
      </c>
      <c r="G369" s="23">
        <v>0</v>
      </c>
      <c r="H369" s="23">
        <v>0.69</v>
      </c>
      <c r="I369" s="23">
        <v>3.5</v>
      </c>
      <c r="J369" s="23">
        <v>20</v>
      </c>
      <c r="K369" s="23">
        <v>2.7</v>
      </c>
      <c r="L369" s="23">
        <v>3.8</v>
      </c>
      <c r="M369" s="23">
        <v>5.5</v>
      </c>
      <c r="N369" s="23">
        <v>0.07</v>
      </c>
      <c r="O369" s="23">
        <v>0</v>
      </c>
      <c r="P369" s="23">
        <v>0</v>
      </c>
      <c r="Q369" s="23">
        <v>0</v>
      </c>
      <c r="R369" s="23">
        <v>0.1</v>
      </c>
      <c r="S369" s="23">
        <v>0.5</v>
      </c>
    </row>
    <row r="370" spans="1:19" ht="16.5" customHeight="1">
      <c r="A370" s="11"/>
      <c r="B370" s="27" t="s">
        <v>31</v>
      </c>
      <c r="C370" s="27"/>
      <c r="D370" s="23">
        <v>6</v>
      </c>
      <c r="E370" s="23">
        <v>5</v>
      </c>
      <c r="F370" s="23">
        <v>0</v>
      </c>
      <c r="G370" s="23">
        <v>0</v>
      </c>
      <c r="H370" s="23">
        <v>0.41</v>
      </c>
      <c r="I370" s="23">
        <v>2.05</v>
      </c>
      <c r="J370" s="23">
        <v>8.75</v>
      </c>
      <c r="K370" s="23">
        <v>1.55</v>
      </c>
      <c r="L370" s="23">
        <v>0.7</v>
      </c>
      <c r="M370" s="23">
        <v>2.9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0.5</v>
      </c>
    </row>
    <row r="371" spans="1:19" ht="16.5" customHeight="1">
      <c r="A371" s="11"/>
      <c r="B371" s="27" t="s">
        <v>57</v>
      </c>
      <c r="C371" s="27"/>
      <c r="D371" s="23">
        <v>16.8</v>
      </c>
      <c r="E371" s="23">
        <v>15</v>
      </c>
      <c r="F371" s="23">
        <v>0.12</v>
      </c>
      <c r="G371" s="23">
        <v>0</v>
      </c>
      <c r="H371" s="23">
        <v>0.26</v>
      </c>
      <c r="I371" s="23">
        <v>1.95</v>
      </c>
      <c r="J371" s="23">
        <v>21.15</v>
      </c>
      <c r="K371" s="23">
        <v>3.45</v>
      </c>
      <c r="L371" s="23">
        <v>2.1</v>
      </c>
      <c r="M371" s="23">
        <v>3.6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0.75</v>
      </c>
    </row>
    <row r="372" spans="1:19" ht="16.5" customHeight="1">
      <c r="A372" s="11"/>
      <c r="B372" s="65" t="s">
        <v>35</v>
      </c>
      <c r="C372" s="27"/>
      <c r="D372" s="23">
        <v>5</v>
      </c>
      <c r="E372" s="23">
        <v>5</v>
      </c>
      <c r="F372" s="23">
        <v>0</v>
      </c>
      <c r="G372" s="23">
        <v>5</v>
      </c>
      <c r="H372" s="23">
        <v>0</v>
      </c>
      <c r="I372" s="23">
        <v>45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</row>
    <row r="373" spans="1:19" ht="16.5" customHeight="1">
      <c r="A373" s="11"/>
      <c r="B373" s="27" t="s">
        <v>46</v>
      </c>
      <c r="C373" s="27"/>
      <c r="D373" s="23">
        <v>1.7</v>
      </c>
      <c r="E373" s="23">
        <v>1.7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</row>
    <row r="374" spans="1:19" ht="16.5" customHeight="1">
      <c r="A374" s="11"/>
      <c r="B374" s="27" t="s">
        <v>33</v>
      </c>
      <c r="C374" s="27"/>
      <c r="D374" s="23">
        <v>187.5</v>
      </c>
      <c r="E374" s="23">
        <v>187.5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</row>
    <row r="375" spans="1:19" ht="16.5" customHeight="1">
      <c r="A375" s="11"/>
      <c r="B375" s="27" t="s">
        <v>50</v>
      </c>
      <c r="C375" s="27"/>
      <c r="D375" s="23">
        <v>5</v>
      </c>
      <c r="E375" s="23">
        <v>5</v>
      </c>
      <c r="F375" s="23">
        <v>0.7</v>
      </c>
      <c r="G375" s="23">
        <v>0.8</v>
      </c>
      <c r="H375" s="23">
        <v>0.1</v>
      </c>
      <c r="I375" s="23">
        <v>12</v>
      </c>
      <c r="J375" s="23">
        <v>6.3</v>
      </c>
      <c r="K375" s="23">
        <v>5</v>
      </c>
      <c r="L375" s="23">
        <v>0.4</v>
      </c>
      <c r="M375" s="23">
        <v>3.5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</row>
    <row r="376" spans="1:19" ht="16.5" customHeight="1">
      <c r="A376" s="11" t="s">
        <v>52</v>
      </c>
      <c r="B376" s="3" t="s">
        <v>53</v>
      </c>
      <c r="C376" s="32" t="s">
        <v>175</v>
      </c>
      <c r="D376" s="6"/>
      <c r="E376" s="6"/>
      <c r="F376" s="3">
        <v>33.9</v>
      </c>
      <c r="G376" s="3">
        <v>36.6</v>
      </c>
      <c r="H376" s="3">
        <v>53</v>
      </c>
      <c r="I376" s="3">
        <v>671.6</v>
      </c>
      <c r="J376" s="3">
        <v>601.7</v>
      </c>
      <c r="K376" s="7">
        <v>73.52</v>
      </c>
      <c r="L376" s="3">
        <v>88.9</v>
      </c>
      <c r="M376" s="3">
        <v>663.2</v>
      </c>
      <c r="N376" s="3">
        <v>7.53</v>
      </c>
      <c r="O376" s="3">
        <v>2.01</v>
      </c>
      <c r="P376" s="3">
        <v>0.2</v>
      </c>
      <c r="Q376" s="3">
        <v>0.3</v>
      </c>
      <c r="R376" s="3">
        <v>8.29</v>
      </c>
      <c r="S376" s="3">
        <v>4.4</v>
      </c>
    </row>
    <row r="377" spans="1:19" ht="16.5" customHeight="1">
      <c r="A377" s="11"/>
      <c r="B377" s="8" t="s">
        <v>42</v>
      </c>
      <c r="C377" s="8"/>
      <c r="D377" s="33">
        <v>153.6</v>
      </c>
      <c r="E377" s="33">
        <v>108.8</v>
      </c>
      <c r="F377" s="8">
        <v>28.4</v>
      </c>
      <c r="G377" s="8">
        <v>21.9</v>
      </c>
      <c r="H377" s="8">
        <v>0</v>
      </c>
      <c r="I377" s="8">
        <v>299.2</v>
      </c>
      <c r="J377" s="8">
        <v>460.8</v>
      </c>
      <c r="K377" s="9">
        <v>38.4</v>
      </c>
      <c r="L377" s="8">
        <v>61.4</v>
      </c>
      <c r="M377" s="8">
        <v>572.2</v>
      </c>
      <c r="N377" s="8">
        <v>5.8</v>
      </c>
      <c r="O377" s="8">
        <v>0.13</v>
      </c>
      <c r="P377" s="8">
        <v>0.13</v>
      </c>
      <c r="Q377" s="8">
        <v>0.27</v>
      </c>
      <c r="R377" s="8">
        <v>6.9</v>
      </c>
      <c r="S377" s="8">
        <v>0</v>
      </c>
    </row>
    <row r="378" spans="1:19" ht="16.5" customHeight="1">
      <c r="A378" s="11"/>
      <c r="B378" s="13" t="s">
        <v>32</v>
      </c>
      <c r="C378" s="13"/>
      <c r="D378" s="33">
        <v>11.2</v>
      </c>
      <c r="E378" s="33">
        <v>11.2</v>
      </c>
      <c r="F378" s="8">
        <v>0</v>
      </c>
      <c r="G378" s="8">
        <v>14</v>
      </c>
      <c r="H378" s="8">
        <v>0</v>
      </c>
      <c r="I378" s="8">
        <v>126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</row>
    <row r="379" spans="1:19" ht="16.5" customHeight="1">
      <c r="A379" s="11"/>
      <c r="B379" s="8" t="s">
        <v>30</v>
      </c>
      <c r="C379" s="8"/>
      <c r="D379" s="33">
        <v>16</v>
      </c>
      <c r="E379" s="33">
        <v>12.8</v>
      </c>
      <c r="F379" s="8">
        <v>0.2</v>
      </c>
      <c r="G379" s="8">
        <v>0</v>
      </c>
      <c r="H379" s="8">
        <v>1.1</v>
      </c>
      <c r="I379" s="8">
        <v>5.6</v>
      </c>
      <c r="J379" s="8">
        <v>40</v>
      </c>
      <c r="K379" s="9">
        <v>10.2</v>
      </c>
      <c r="L379" s="8">
        <v>7.6</v>
      </c>
      <c r="M379" s="8">
        <v>11</v>
      </c>
      <c r="N379" s="8">
        <v>0.24</v>
      </c>
      <c r="O379" s="8">
        <v>1.8</v>
      </c>
      <c r="P379" s="8">
        <v>0.01</v>
      </c>
      <c r="Q379" s="8">
        <v>0.01</v>
      </c>
      <c r="R379" s="8">
        <v>0.2</v>
      </c>
      <c r="S379" s="8">
        <v>1</v>
      </c>
    </row>
    <row r="380" spans="1:19" ht="16.5" customHeight="1">
      <c r="A380" s="11"/>
      <c r="B380" s="8" t="s">
        <v>34</v>
      </c>
      <c r="C380" s="8"/>
      <c r="D380" s="33">
        <v>3.2</v>
      </c>
      <c r="E380" s="33">
        <v>3.2</v>
      </c>
      <c r="F380" s="8">
        <v>0.2</v>
      </c>
      <c r="G380" s="8">
        <v>0</v>
      </c>
      <c r="H380" s="8">
        <v>0.8</v>
      </c>
      <c r="I380" s="8">
        <v>4.1</v>
      </c>
      <c r="J380" s="8">
        <v>35.12</v>
      </c>
      <c r="K380" s="9">
        <v>3.12</v>
      </c>
      <c r="L380" s="8">
        <v>1.2</v>
      </c>
      <c r="M380" s="8">
        <v>0.1</v>
      </c>
      <c r="N380" s="8">
        <v>0.08</v>
      </c>
      <c r="O380" s="8">
        <v>0</v>
      </c>
      <c r="P380" s="8">
        <v>0</v>
      </c>
      <c r="Q380" s="8">
        <v>0.04</v>
      </c>
      <c r="R380" s="8">
        <v>1.8</v>
      </c>
      <c r="S380" s="8">
        <v>0</v>
      </c>
    </row>
    <row r="381" spans="1:19" ht="16.5" customHeight="1">
      <c r="A381" s="11"/>
      <c r="B381" s="8" t="s">
        <v>31</v>
      </c>
      <c r="C381" s="8"/>
      <c r="D381" s="33">
        <v>12.8</v>
      </c>
      <c r="E381" s="33">
        <v>11.2</v>
      </c>
      <c r="F381" s="8">
        <v>0.2</v>
      </c>
      <c r="G381" s="8">
        <v>0</v>
      </c>
      <c r="H381" s="8">
        <v>1.1</v>
      </c>
      <c r="I381" s="8">
        <v>5.7</v>
      </c>
      <c r="J381" s="8">
        <v>28</v>
      </c>
      <c r="K381" s="9">
        <v>5</v>
      </c>
      <c r="L381" s="8">
        <v>2.2</v>
      </c>
      <c r="M381" s="8">
        <v>9.3</v>
      </c>
      <c r="N381" s="8">
        <v>0.13</v>
      </c>
      <c r="O381" s="8">
        <v>0</v>
      </c>
      <c r="P381" s="8">
        <v>0</v>
      </c>
      <c r="Q381" s="8">
        <v>0</v>
      </c>
      <c r="R381" s="8">
        <v>0.03</v>
      </c>
      <c r="S381" s="8">
        <v>1.6</v>
      </c>
    </row>
    <row r="382" spans="1:19" ht="16.5" customHeight="1">
      <c r="A382" s="11"/>
      <c r="B382" s="8" t="s">
        <v>49</v>
      </c>
      <c r="C382" s="8"/>
      <c r="D382" s="33">
        <v>52.5</v>
      </c>
      <c r="E382" s="33">
        <v>52.5</v>
      </c>
      <c r="F382" s="8">
        <v>4.9</v>
      </c>
      <c r="G382" s="8">
        <v>0.7</v>
      </c>
      <c r="H382" s="8">
        <v>50</v>
      </c>
      <c r="I382" s="8">
        <v>231</v>
      </c>
      <c r="J382" s="8">
        <v>37.8</v>
      </c>
      <c r="K382" s="9">
        <v>16.8</v>
      </c>
      <c r="L382" s="8">
        <v>16.5</v>
      </c>
      <c r="M382" s="8">
        <v>68</v>
      </c>
      <c r="N382" s="8">
        <v>1.26</v>
      </c>
      <c r="O382" s="8">
        <v>0</v>
      </c>
      <c r="P382" s="8">
        <v>0.06</v>
      </c>
      <c r="Q382" s="8">
        <v>0.02</v>
      </c>
      <c r="R382" s="8">
        <v>1.12</v>
      </c>
      <c r="S382" s="8">
        <v>0</v>
      </c>
    </row>
    <row r="383" spans="1:19" ht="16.5" customHeight="1">
      <c r="A383" s="11"/>
      <c r="B383" s="8" t="s">
        <v>46</v>
      </c>
      <c r="C383" s="8"/>
      <c r="D383" s="33">
        <v>2</v>
      </c>
      <c r="E383" s="33">
        <v>2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6.5" customHeight="1">
      <c r="A384" s="11" t="s">
        <v>74</v>
      </c>
      <c r="B384" s="5" t="s">
        <v>75</v>
      </c>
      <c r="C384" s="39">
        <v>200</v>
      </c>
      <c r="D384" s="23"/>
      <c r="E384" s="2"/>
      <c r="F384" s="3">
        <f aca="true" t="shared" si="40" ref="F384:S384">SUM(F385:F387)</f>
        <v>0.1</v>
      </c>
      <c r="G384" s="3">
        <f t="shared" si="40"/>
        <v>0</v>
      </c>
      <c r="H384" s="3">
        <f t="shared" si="40"/>
        <v>15</v>
      </c>
      <c r="I384" s="3">
        <f t="shared" si="40"/>
        <v>57.699999999999996</v>
      </c>
      <c r="J384" s="3">
        <f t="shared" si="40"/>
        <v>12.9</v>
      </c>
      <c r="K384" s="3">
        <f t="shared" si="40"/>
        <v>2.9</v>
      </c>
      <c r="L384" s="3">
        <f t="shared" si="40"/>
        <v>2.2</v>
      </c>
      <c r="M384" s="3">
        <f t="shared" si="40"/>
        <v>4.12</v>
      </c>
      <c r="N384" s="3">
        <f t="shared" si="40"/>
        <v>0.4</v>
      </c>
      <c r="O384" s="3">
        <f t="shared" si="40"/>
        <v>0</v>
      </c>
      <c r="P384" s="3">
        <f t="shared" si="40"/>
        <v>0</v>
      </c>
      <c r="Q384" s="3">
        <f t="shared" si="40"/>
        <v>0</v>
      </c>
      <c r="R384" s="32">
        <f t="shared" si="40"/>
        <v>0</v>
      </c>
      <c r="S384" s="3">
        <f t="shared" si="40"/>
        <v>0</v>
      </c>
    </row>
    <row r="385" spans="1:19" ht="16.5" customHeight="1">
      <c r="A385" s="11"/>
      <c r="B385" s="13" t="s">
        <v>38</v>
      </c>
      <c r="C385" s="23"/>
      <c r="D385" s="33">
        <v>50</v>
      </c>
      <c r="E385" s="33">
        <v>50</v>
      </c>
      <c r="F385" s="8">
        <v>0.1</v>
      </c>
      <c r="G385" s="8">
        <v>0</v>
      </c>
      <c r="H385" s="8">
        <v>0</v>
      </c>
      <c r="I385" s="8">
        <v>0.8</v>
      </c>
      <c r="J385" s="9">
        <v>12.4</v>
      </c>
      <c r="K385" s="8">
        <v>2.5</v>
      </c>
      <c r="L385" s="8">
        <v>2.2</v>
      </c>
      <c r="M385" s="9">
        <v>4.12</v>
      </c>
      <c r="N385" s="8">
        <v>0.4</v>
      </c>
      <c r="O385" s="8">
        <v>0</v>
      </c>
      <c r="P385" s="8">
        <v>0</v>
      </c>
      <c r="Q385" s="8">
        <v>0</v>
      </c>
      <c r="R385" s="34">
        <v>0</v>
      </c>
      <c r="S385" s="8">
        <v>0</v>
      </c>
    </row>
    <row r="386" spans="1:19" ht="24.75" customHeight="1">
      <c r="A386" s="11"/>
      <c r="B386" s="13" t="s">
        <v>28</v>
      </c>
      <c r="C386" s="23"/>
      <c r="D386" s="33">
        <v>15</v>
      </c>
      <c r="E386" s="33">
        <v>15</v>
      </c>
      <c r="F386" s="8">
        <v>0</v>
      </c>
      <c r="G386" s="8">
        <v>0</v>
      </c>
      <c r="H386" s="8">
        <v>15</v>
      </c>
      <c r="I386" s="8">
        <v>56.9</v>
      </c>
      <c r="J386" s="9">
        <v>0.5</v>
      </c>
      <c r="K386" s="8">
        <v>0.4</v>
      </c>
      <c r="L386" s="8">
        <v>0</v>
      </c>
      <c r="M386" s="9">
        <v>0</v>
      </c>
      <c r="N386" s="8">
        <v>0</v>
      </c>
      <c r="O386" s="8">
        <v>0</v>
      </c>
      <c r="P386" s="8">
        <v>0</v>
      </c>
      <c r="Q386" s="8">
        <v>0</v>
      </c>
      <c r="R386" s="34">
        <v>0</v>
      </c>
      <c r="S386" s="8">
        <v>0</v>
      </c>
    </row>
    <row r="387" spans="1:19" ht="16.5" customHeight="1">
      <c r="A387" s="11"/>
      <c r="B387" s="13" t="s">
        <v>33</v>
      </c>
      <c r="C387" s="23"/>
      <c r="D387" s="33">
        <v>150</v>
      </c>
      <c r="E387" s="33">
        <v>150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34">
        <v>0</v>
      </c>
      <c r="S387" s="8">
        <v>0</v>
      </c>
    </row>
    <row r="388" spans="1:19" ht="16.5" customHeight="1">
      <c r="A388" s="11" t="s">
        <v>23</v>
      </c>
      <c r="B388" s="5" t="s">
        <v>89</v>
      </c>
      <c r="C388" s="5">
        <v>20</v>
      </c>
      <c r="D388" s="8">
        <v>20</v>
      </c>
      <c r="E388" s="38">
        <v>20</v>
      </c>
      <c r="F388" s="3">
        <f>7.7*E388/100</f>
        <v>1.54</v>
      </c>
      <c r="G388" s="3">
        <v>5.4</v>
      </c>
      <c r="H388" s="3">
        <f>49.8*E388/100</f>
        <v>9.96</v>
      </c>
      <c r="I388" s="3">
        <f>262*E388/100</f>
        <v>52.4</v>
      </c>
      <c r="J388" s="3">
        <f>127*E388/100</f>
        <v>25.4</v>
      </c>
      <c r="K388" s="3">
        <f>26*E388/100</f>
        <v>5.2</v>
      </c>
      <c r="L388" s="3">
        <f>35*E388/100</f>
        <v>7</v>
      </c>
      <c r="M388" s="3">
        <f>83*E388/100</f>
        <v>16.6</v>
      </c>
      <c r="N388" s="3">
        <f>1.6*E388/100</f>
        <v>0.32</v>
      </c>
      <c r="O388" s="3">
        <v>0</v>
      </c>
      <c r="P388" s="3">
        <v>0</v>
      </c>
      <c r="Q388" s="3">
        <v>0</v>
      </c>
      <c r="R388" s="3">
        <f>1.54*E388/100</f>
        <v>0.308</v>
      </c>
      <c r="S388" s="3">
        <v>0</v>
      </c>
    </row>
    <row r="389" spans="1:19" ht="16.5" customHeight="1">
      <c r="A389" s="3" t="s">
        <v>138</v>
      </c>
      <c r="B389" s="5" t="s">
        <v>139</v>
      </c>
      <c r="C389" s="5">
        <v>20</v>
      </c>
      <c r="D389" s="23">
        <v>20</v>
      </c>
      <c r="E389" s="23">
        <v>20</v>
      </c>
      <c r="F389" s="3">
        <f>6.6*E389/100</f>
        <v>1.32</v>
      </c>
      <c r="G389" s="3">
        <f>1.2*E389/100</f>
        <v>0.24</v>
      </c>
      <c r="H389" s="3">
        <f>34.2*E389/100</f>
        <v>6.84</v>
      </c>
      <c r="I389" s="3">
        <f>181*E389/100</f>
        <v>36.2</v>
      </c>
      <c r="J389" s="3">
        <f>94*E389/100</f>
        <v>18.8</v>
      </c>
      <c r="K389" s="3">
        <f>34*E389/100</f>
        <v>6.8</v>
      </c>
      <c r="L389" s="3">
        <f>41*E389/100</f>
        <v>8.2</v>
      </c>
      <c r="M389" s="3">
        <f>120*E389/100</f>
        <v>24</v>
      </c>
      <c r="N389" s="3">
        <f>2.3*E389/100</f>
        <v>0.46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</row>
    <row r="390" spans="1:19" ht="16.5" customHeight="1">
      <c r="A390" s="3"/>
      <c r="B390" s="2" t="s">
        <v>162</v>
      </c>
      <c r="C390" s="2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:19" ht="33" customHeight="1">
      <c r="A391" s="11" t="s">
        <v>52</v>
      </c>
      <c r="B391" s="3" t="s">
        <v>53</v>
      </c>
      <c r="C391" s="32" t="s">
        <v>175</v>
      </c>
      <c r="D391" s="6"/>
      <c r="E391" s="6"/>
      <c r="F391" s="3">
        <v>33.9</v>
      </c>
      <c r="G391" s="3">
        <v>36.6</v>
      </c>
      <c r="H391" s="3">
        <v>53</v>
      </c>
      <c r="I391" s="3">
        <v>671.6</v>
      </c>
      <c r="J391" s="3">
        <v>601.7</v>
      </c>
      <c r="K391" s="7">
        <v>73.52</v>
      </c>
      <c r="L391" s="3">
        <v>88.9</v>
      </c>
      <c r="M391" s="3">
        <v>663.2</v>
      </c>
      <c r="N391" s="3">
        <v>7.53</v>
      </c>
      <c r="O391" s="3">
        <v>2.01</v>
      </c>
      <c r="P391" s="3">
        <v>0.2</v>
      </c>
      <c r="Q391" s="3">
        <v>0.3</v>
      </c>
      <c r="R391" s="3">
        <v>8.29</v>
      </c>
      <c r="S391" s="3">
        <v>4.4</v>
      </c>
    </row>
    <row r="392" spans="1:19" ht="16.5" customHeight="1">
      <c r="A392" s="11"/>
      <c r="B392" s="8" t="s">
        <v>42</v>
      </c>
      <c r="C392" s="8"/>
      <c r="D392" s="33">
        <v>153.6</v>
      </c>
      <c r="E392" s="33">
        <v>108.8</v>
      </c>
      <c r="F392" s="8">
        <v>28.4</v>
      </c>
      <c r="G392" s="8">
        <v>21.9</v>
      </c>
      <c r="H392" s="8">
        <v>0</v>
      </c>
      <c r="I392" s="8">
        <v>299.2</v>
      </c>
      <c r="J392" s="8">
        <v>460.8</v>
      </c>
      <c r="K392" s="9">
        <v>38.4</v>
      </c>
      <c r="L392" s="8">
        <v>61.4</v>
      </c>
      <c r="M392" s="8">
        <v>572.2</v>
      </c>
      <c r="N392" s="8">
        <v>5.8</v>
      </c>
      <c r="O392" s="8">
        <v>0.13</v>
      </c>
      <c r="P392" s="8">
        <v>0.13</v>
      </c>
      <c r="Q392" s="8">
        <v>0.27</v>
      </c>
      <c r="R392" s="8">
        <v>6.9</v>
      </c>
      <c r="S392" s="8">
        <v>0</v>
      </c>
    </row>
    <row r="393" spans="1:19" ht="16.5" customHeight="1">
      <c r="A393" s="11"/>
      <c r="B393" s="13" t="s">
        <v>32</v>
      </c>
      <c r="C393" s="13"/>
      <c r="D393" s="33">
        <v>11.2</v>
      </c>
      <c r="E393" s="33">
        <v>11.2</v>
      </c>
      <c r="F393" s="8">
        <v>0</v>
      </c>
      <c r="G393" s="8">
        <v>14</v>
      </c>
      <c r="H393" s="8">
        <v>0</v>
      </c>
      <c r="I393" s="8">
        <v>126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</row>
    <row r="394" spans="1:19" ht="16.5" customHeight="1">
      <c r="A394" s="11"/>
      <c r="B394" s="8" t="s">
        <v>30</v>
      </c>
      <c r="C394" s="8"/>
      <c r="D394" s="33">
        <v>16</v>
      </c>
      <c r="E394" s="33">
        <v>12.8</v>
      </c>
      <c r="F394" s="8">
        <v>0.2</v>
      </c>
      <c r="G394" s="8">
        <v>0</v>
      </c>
      <c r="H394" s="8">
        <v>1.1</v>
      </c>
      <c r="I394" s="8">
        <v>5.6</v>
      </c>
      <c r="J394" s="8">
        <v>40</v>
      </c>
      <c r="K394" s="9">
        <v>10.2</v>
      </c>
      <c r="L394" s="8">
        <v>7.6</v>
      </c>
      <c r="M394" s="8">
        <v>11</v>
      </c>
      <c r="N394" s="8">
        <v>0.24</v>
      </c>
      <c r="O394" s="8">
        <v>1.8</v>
      </c>
      <c r="P394" s="8">
        <v>0.01</v>
      </c>
      <c r="Q394" s="8">
        <v>0.01</v>
      </c>
      <c r="R394" s="8">
        <v>0.2</v>
      </c>
      <c r="S394" s="8">
        <v>1</v>
      </c>
    </row>
    <row r="395" spans="1:19" ht="16.5" customHeight="1">
      <c r="A395" s="11"/>
      <c r="B395" s="8" t="s">
        <v>34</v>
      </c>
      <c r="C395" s="8"/>
      <c r="D395" s="33">
        <v>3.2</v>
      </c>
      <c r="E395" s="33">
        <v>3.2</v>
      </c>
      <c r="F395" s="8">
        <v>0.2</v>
      </c>
      <c r="G395" s="8">
        <v>0</v>
      </c>
      <c r="H395" s="8">
        <v>0.8</v>
      </c>
      <c r="I395" s="8">
        <v>4.1</v>
      </c>
      <c r="J395" s="8">
        <v>35.12</v>
      </c>
      <c r="K395" s="9">
        <v>3.12</v>
      </c>
      <c r="L395" s="8">
        <v>1.2</v>
      </c>
      <c r="M395" s="8">
        <v>0.1</v>
      </c>
      <c r="N395" s="8">
        <v>0.08</v>
      </c>
      <c r="O395" s="8">
        <v>0</v>
      </c>
      <c r="P395" s="8">
        <v>0</v>
      </c>
      <c r="Q395" s="8">
        <v>0.04</v>
      </c>
      <c r="R395" s="8">
        <v>1.8</v>
      </c>
      <c r="S395" s="8">
        <v>0</v>
      </c>
    </row>
    <row r="396" spans="1:19" ht="16.5" customHeight="1">
      <c r="A396" s="11"/>
      <c r="B396" s="8" t="s">
        <v>31</v>
      </c>
      <c r="C396" s="8"/>
      <c r="D396" s="33">
        <v>12.8</v>
      </c>
      <c r="E396" s="33">
        <v>11.2</v>
      </c>
      <c r="F396" s="8">
        <v>0.2</v>
      </c>
      <c r="G396" s="8">
        <v>0</v>
      </c>
      <c r="H396" s="8">
        <v>1.1</v>
      </c>
      <c r="I396" s="8">
        <v>5.7</v>
      </c>
      <c r="J396" s="8">
        <v>28</v>
      </c>
      <c r="K396" s="9">
        <v>5</v>
      </c>
      <c r="L396" s="8">
        <v>2.2</v>
      </c>
      <c r="M396" s="8">
        <v>9.3</v>
      </c>
      <c r="N396" s="8">
        <v>0.13</v>
      </c>
      <c r="O396" s="8">
        <v>0</v>
      </c>
      <c r="P396" s="8">
        <v>0</v>
      </c>
      <c r="Q396" s="8">
        <v>0</v>
      </c>
      <c r="R396" s="8">
        <v>0.03</v>
      </c>
      <c r="S396" s="8">
        <v>1.6</v>
      </c>
    </row>
    <row r="397" spans="1:19" ht="16.5" customHeight="1">
      <c r="A397" s="11"/>
      <c r="B397" s="8" t="s">
        <v>49</v>
      </c>
      <c r="C397" s="8"/>
      <c r="D397" s="33">
        <v>52.5</v>
      </c>
      <c r="E397" s="33">
        <v>52.5</v>
      </c>
      <c r="F397" s="8">
        <v>4.9</v>
      </c>
      <c r="G397" s="8">
        <v>0.7</v>
      </c>
      <c r="H397" s="8">
        <v>50</v>
      </c>
      <c r="I397" s="8">
        <v>231</v>
      </c>
      <c r="J397" s="8">
        <v>37.8</v>
      </c>
      <c r="K397" s="9">
        <v>16.8</v>
      </c>
      <c r="L397" s="8">
        <v>16.5</v>
      </c>
      <c r="M397" s="8">
        <v>68</v>
      </c>
      <c r="N397" s="8">
        <v>1.26</v>
      </c>
      <c r="O397" s="8">
        <v>0</v>
      </c>
      <c r="P397" s="8">
        <v>0.06</v>
      </c>
      <c r="Q397" s="8">
        <v>0.02</v>
      </c>
      <c r="R397" s="8">
        <v>1.12</v>
      </c>
      <c r="S397" s="8">
        <v>0</v>
      </c>
    </row>
    <row r="398" spans="1:19" ht="16.5" customHeight="1">
      <c r="A398" s="11"/>
      <c r="B398" s="8" t="s">
        <v>46</v>
      </c>
      <c r="C398" s="8"/>
      <c r="D398" s="33">
        <v>2</v>
      </c>
      <c r="E398" s="33">
        <v>2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</row>
    <row r="399" spans="1:19" ht="16.5" customHeight="1">
      <c r="A399" s="11" t="s">
        <v>74</v>
      </c>
      <c r="B399" s="5" t="s">
        <v>75</v>
      </c>
      <c r="C399" s="39">
        <v>200</v>
      </c>
      <c r="D399" s="23"/>
      <c r="E399" s="2"/>
      <c r="F399" s="3">
        <f aca="true" t="shared" si="41" ref="F399:S399">SUM(F400:F402)</f>
        <v>0.1</v>
      </c>
      <c r="G399" s="3">
        <f t="shared" si="41"/>
        <v>0</v>
      </c>
      <c r="H399" s="3">
        <f t="shared" si="41"/>
        <v>15</v>
      </c>
      <c r="I399" s="3">
        <f t="shared" si="41"/>
        <v>57.699999999999996</v>
      </c>
      <c r="J399" s="3">
        <f t="shared" si="41"/>
        <v>12.9</v>
      </c>
      <c r="K399" s="3">
        <f t="shared" si="41"/>
        <v>2.9</v>
      </c>
      <c r="L399" s="3">
        <f t="shared" si="41"/>
        <v>2.2</v>
      </c>
      <c r="M399" s="3">
        <f t="shared" si="41"/>
        <v>4.12</v>
      </c>
      <c r="N399" s="3">
        <f t="shared" si="41"/>
        <v>0.4</v>
      </c>
      <c r="O399" s="3">
        <f t="shared" si="41"/>
        <v>0</v>
      </c>
      <c r="P399" s="3">
        <f t="shared" si="41"/>
        <v>0</v>
      </c>
      <c r="Q399" s="3">
        <f t="shared" si="41"/>
        <v>0</v>
      </c>
      <c r="R399" s="32">
        <f t="shared" si="41"/>
        <v>0</v>
      </c>
      <c r="S399" s="3">
        <f t="shared" si="41"/>
        <v>0</v>
      </c>
    </row>
    <row r="400" spans="1:19" ht="32.25" customHeight="1">
      <c r="A400" s="11"/>
      <c r="B400" s="13" t="s">
        <v>38</v>
      </c>
      <c r="C400" s="23"/>
      <c r="D400" s="33">
        <v>50</v>
      </c>
      <c r="E400" s="33">
        <v>50</v>
      </c>
      <c r="F400" s="8">
        <v>0.1</v>
      </c>
      <c r="G400" s="8">
        <v>0</v>
      </c>
      <c r="H400" s="8">
        <v>0</v>
      </c>
      <c r="I400" s="8">
        <v>0.8</v>
      </c>
      <c r="J400" s="9">
        <v>12.4</v>
      </c>
      <c r="K400" s="8">
        <v>2.5</v>
      </c>
      <c r="L400" s="8">
        <v>2.2</v>
      </c>
      <c r="M400" s="9">
        <v>4.12</v>
      </c>
      <c r="N400" s="8">
        <v>0.4</v>
      </c>
      <c r="O400" s="8">
        <v>0</v>
      </c>
      <c r="P400" s="8">
        <v>0</v>
      </c>
      <c r="Q400" s="8">
        <v>0</v>
      </c>
      <c r="R400" s="34">
        <v>0</v>
      </c>
      <c r="S400" s="8">
        <v>0</v>
      </c>
    </row>
    <row r="401" spans="1:19" ht="16.5" customHeight="1">
      <c r="A401" s="11"/>
      <c r="B401" s="13" t="s">
        <v>28</v>
      </c>
      <c r="C401" s="23"/>
      <c r="D401" s="33">
        <v>15</v>
      </c>
      <c r="E401" s="33">
        <v>15</v>
      </c>
      <c r="F401" s="8">
        <v>0</v>
      </c>
      <c r="G401" s="8">
        <v>0</v>
      </c>
      <c r="H401" s="8">
        <v>15</v>
      </c>
      <c r="I401" s="8">
        <v>56.9</v>
      </c>
      <c r="J401" s="9">
        <v>0.5</v>
      </c>
      <c r="K401" s="8">
        <v>0.4</v>
      </c>
      <c r="L401" s="8">
        <v>0</v>
      </c>
      <c r="M401" s="9">
        <v>0</v>
      </c>
      <c r="N401" s="8">
        <v>0</v>
      </c>
      <c r="O401" s="8">
        <v>0</v>
      </c>
      <c r="P401" s="8">
        <v>0</v>
      </c>
      <c r="Q401" s="8">
        <v>0</v>
      </c>
      <c r="R401" s="34">
        <v>0</v>
      </c>
      <c r="S401" s="8">
        <v>0</v>
      </c>
    </row>
    <row r="402" spans="1:19" ht="16.5" customHeight="1">
      <c r="A402" s="11"/>
      <c r="B402" s="13" t="s">
        <v>33</v>
      </c>
      <c r="C402" s="23"/>
      <c r="D402" s="33">
        <v>150</v>
      </c>
      <c r="E402" s="33">
        <v>150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34">
        <v>0</v>
      </c>
      <c r="S402" s="8">
        <v>0</v>
      </c>
    </row>
    <row r="403" spans="1:19" ht="16.5" customHeight="1">
      <c r="A403" s="11" t="s">
        <v>23</v>
      </c>
      <c r="B403" s="5" t="s">
        <v>89</v>
      </c>
      <c r="C403" s="5">
        <v>20</v>
      </c>
      <c r="D403" s="8">
        <v>20</v>
      </c>
      <c r="E403" s="38">
        <v>20</v>
      </c>
      <c r="F403" s="3">
        <f>7.7*E403/100</f>
        <v>1.54</v>
      </c>
      <c r="G403" s="3">
        <v>5.4</v>
      </c>
      <c r="H403" s="3">
        <f>49.8*E403/100</f>
        <v>9.96</v>
      </c>
      <c r="I403" s="3">
        <f>262*E403/100</f>
        <v>52.4</v>
      </c>
      <c r="J403" s="3">
        <f>127*E403/100</f>
        <v>25.4</v>
      </c>
      <c r="K403" s="3">
        <f>26*E403/100</f>
        <v>5.2</v>
      </c>
      <c r="L403" s="3">
        <f>35*E403/100</f>
        <v>7</v>
      </c>
      <c r="M403" s="3">
        <f>83*E403/100</f>
        <v>16.6</v>
      </c>
      <c r="N403" s="3">
        <f>1.6*E403/100</f>
        <v>0.32</v>
      </c>
      <c r="O403" s="3">
        <v>0</v>
      </c>
      <c r="P403" s="3">
        <v>0</v>
      </c>
      <c r="Q403" s="3">
        <v>0</v>
      </c>
      <c r="R403" s="3">
        <f>1.54*E403/100</f>
        <v>0.308</v>
      </c>
      <c r="S403" s="3">
        <v>0</v>
      </c>
    </row>
    <row r="404" spans="1:19" ht="16.5" customHeight="1">
      <c r="A404" s="3" t="s">
        <v>138</v>
      </c>
      <c r="B404" s="5" t="s">
        <v>139</v>
      </c>
      <c r="C404" s="5">
        <v>20</v>
      </c>
      <c r="D404" s="23">
        <v>20</v>
      </c>
      <c r="E404" s="23">
        <v>20</v>
      </c>
      <c r="F404" s="3">
        <f>6.6*E404/100</f>
        <v>1.32</v>
      </c>
      <c r="G404" s="3">
        <f>1.2*E404/100</f>
        <v>0.24</v>
      </c>
      <c r="H404" s="3">
        <f>34.2*E404/100</f>
        <v>6.84</v>
      </c>
      <c r="I404" s="3">
        <f>181*E404/100</f>
        <v>36.2</v>
      </c>
      <c r="J404" s="3">
        <f>94*E404/100</f>
        <v>18.8</v>
      </c>
      <c r="K404" s="3">
        <f>34*E404/100</f>
        <v>6.8</v>
      </c>
      <c r="L404" s="3">
        <f>41*E404/100</f>
        <v>8.2</v>
      </c>
      <c r="M404" s="3">
        <f>120*E404/100</f>
        <v>24</v>
      </c>
      <c r="N404" s="3">
        <f>2.3*E404/100</f>
        <v>0.46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</row>
    <row r="405" spans="1:19" ht="16.5" customHeight="1">
      <c r="A405" s="3"/>
      <c r="B405" s="2" t="s">
        <v>64</v>
      </c>
      <c r="C405" s="5"/>
      <c r="D405" s="23"/>
      <c r="E405" s="2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6.5" customHeight="1">
      <c r="A406" s="3"/>
      <c r="B406" s="2" t="s">
        <v>205</v>
      </c>
      <c r="C406" s="2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1:19" ht="16.5" customHeight="1">
      <c r="A407" s="11" t="s">
        <v>194</v>
      </c>
      <c r="B407" s="5" t="s">
        <v>195</v>
      </c>
      <c r="C407" s="5">
        <v>220</v>
      </c>
      <c r="D407" s="8"/>
      <c r="E407" s="3"/>
      <c r="F407" s="3">
        <f aca="true" t="shared" si="42" ref="F407:S407">F408+F409+F410+F411+F412+F413</f>
        <v>15.594</v>
      </c>
      <c r="G407" s="3">
        <f t="shared" si="42"/>
        <v>4.782</v>
      </c>
      <c r="H407" s="3">
        <f t="shared" si="42"/>
        <v>114.092</v>
      </c>
      <c r="I407" s="3">
        <f t="shared" si="42"/>
        <v>268.34000000000003</v>
      </c>
      <c r="J407" s="3">
        <f t="shared" si="42"/>
        <v>222.16</v>
      </c>
      <c r="K407" s="3">
        <f t="shared" si="42"/>
        <v>151.42000000000002</v>
      </c>
      <c r="L407" s="3">
        <f t="shared" si="42"/>
        <v>59.019999999999996</v>
      </c>
      <c r="M407" s="3">
        <f t="shared" si="42"/>
        <v>221.12</v>
      </c>
      <c r="N407" s="3">
        <f t="shared" si="42"/>
        <v>3.52</v>
      </c>
      <c r="O407" s="3">
        <f t="shared" si="42"/>
        <v>0</v>
      </c>
      <c r="P407" s="3">
        <f t="shared" si="42"/>
        <v>0</v>
      </c>
      <c r="Q407" s="3">
        <f t="shared" si="42"/>
        <v>0</v>
      </c>
      <c r="R407" s="3">
        <f t="shared" si="42"/>
        <v>1.8436000000000001</v>
      </c>
      <c r="S407" s="3">
        <f t="shared" si="42"/>
        <v>1.3</v>
      </c>
    </row>
    <row r="408" spans="1:19" ht="16.5" customHeight="1">
      <c r="A408" s="11"/>
      <c r="B408" s="24" t="s">
        <v>49</v>
      </c>
      <c r="C408" s="24"/>
      <c r="D408" s="8">
        <v>44</v>
      </c>
      <c r="E408" s="8">
        <v>44</v>
      </c>
      <c r="F408" s="8">
        <f>12.6*E408/100</f>
        <v>5.544</v>
      </c>
      <c r="G408" s="8">
        <f>3.3*E408/100</f>
        <v>1.452</v>
      </c>
      <c r="H408" s="90">
        <f>62.1*E408/100</f>
        <v>27.324</v>
      </c>
      <c r="I408" s="8">
        <f>335*E408/100</f>
        <v>147.4</v>
      </c>
      <c r="J408" s="91">
        <f>167*E408/100</f>
        <v>73.48</v>
      </c>
      <c r="K408" s="9">
        <f>70*E408/100</f>
        <v>30.8</v>
      </c>
      <c r="L408" s="8">
        <f>98*E408/100</f>
        <v>43.12</v>
      </c>
      <c r="M408" s="8">
        <f>298*E408/100</f>
        <v>131.12</v>
      </c>
      <c r="N408" s="8">
        <f>8*E408/100</f>
        <v>3.52</v>
      </c>
      <c r="O408" s="8">
        <v>0</v>
      </c>
      <c r="P408" s="8">
        <v>0</v>
      </c>
      <c r="Q408" s="8">
        <v>0</v>
      </c>
      <c r="R408" s="8">
        <f>4.19*E408/100</f>
        <v>1.8436000000000001</v>
      </c>
      <c r="S408" s="8">
        <v>0</v>
      </c>
    </row>
    <row r="409" spans="1:19" ht="16.5" customHeight="1">
      <c r="A409" s="11"/>
      <c r="B409" s="24" t="s">
        <v>27</v>
      </c>
      <c r="C409" s="24"/>
      <c r="D409" s="8">
        <v>100</v>
      </c>
      <c r="E409" s="8">
        <v>100</v>
      </c>
      <c r="F409" s="8">
        <f>2.8*E409/100</f>
        <v>2.8</v>
      </c>
      <c r="G409" s="8">
        <f>3.2*E409/100</f>
        <v>3.2</v>
      </c>
      <c r="H409" s="8">
        <f>4.7*E409/100</f>
        <v>4.7</v>
      </c>
      <c r="I409" s="8">
        <f>58*E409/100</f>
        <v>58</v>
      </c>
      <c r="J409" s="8">
        <f>146*E409/100</f>
        <v>146</v>
      </c>
      <c r="K409" s="9">
        <f>120*E409/100</f>
        <v>120</v>
      </c>
      <c r="L409" s="8">
        <f>14*E409/100</f>
        <v>14</v>
      </c>
      <c r="M409" s="9">
        <f>90*E409/100</f>
        <v>90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f>1.3*E409/100</f>
        <v>1.3</v>
      </c>
    </row>
    <row r="410" spans="1:19" ht="16.5" customHeight="1">
      <c r="A410" s="11"/>
      <c r="B410" s="23" t="s">
        <v>33</v>
      </c>
      <c r="C410" s="23"/>
      <c r="D410" s="23">
        <v>65</v>
      </c>
      <c r="E410" s="8">
        <v>65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</row>
    <row r="411" spans="1:19" ht="16.5" customHeight="1">
      <c r="A411" s="3"/>
      <c r="B411" s="23" t="s">
        <v>28</v>
      </c>
      <c r="C411" s="23"/>
      <c r="D411" s="23">
        <v>16</v>
      </c>
      <c r="E411" s="23">
        <v>16</v>
      </c>
      <c r="F411" s="77">
        <v>0</v>
      </c>
      <c r="G411" s="77">
        <v>0</v>
      </c>
      <c r="H411" s="77">
        <f>99.8*E411/100</f>
        <v>15.968</v>
      </c>
      <c r="I411" s="77">
        <f>379*E411/100</f>
        <v>60.64</v>
      </c>
      <c r="J411" s="77">
        <f>3*E411/100</f>
        <v>0.48</v>
      </c>
      <c r="K411" s="77">
        <f>2*E411/100</f>
        <v>0.32</v>
      </c>
      <c r="L411" s="77">
        <v>0</v>
      </c>
      <c r="M411" s="77">
        <v>0</v>
      </c>
      <c r="N411" s="77">
        <v>0</v>
      </c>
      <c r="O411" s="77">
        <v>0</v>
      </c>
      <c r="P411" s="77">
        <v>0</v>
      </c>
      <c r="Q411" s="77">
        <v>0</v>
      </c>
      <c r="R411" s="77">
        <v>0</v>
      </c>
      <c r="S411" s="77">
        <v>0</v>
      </c>
    </row>
    <row r="412" spans="1:19" ht="16.5" customHeight="1">
      <c r="A412" s="3"/>
      <c r="B412" s="23" t="s">
        <v>46</v>
      </c>
      <c r="C412" s="23"/>
      <c r="D412" s="23">
        <v>0.5</v>
      </c>
      <c r="E412" s="23">
        <v>0.5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</row>
    <row r="413" spans="1:19" ht="16.5" customHeight="1">
      <c r="A413" s="3"/>
      <c r="B413" s="37" t="s">
        <v>35</v>
      </c>
      <c r="C413" s="37"/>
      <c r="D413" s="23">
        <v>10</v>
      </c>
      <c r="E413" s="23">
        <v>10</v>
      </c>
      <c r="F413" s="8">
        <f>72.5*D413/100</f>
        <v>7.25</v>
      </c>
      <c r="G413" s="8">
        <f>1.3*D413/100</f>
        <v>0.13</v>
      </c>
      <c r="H413" s="8">
        <f>661*D413/100</f>
        <v>66.1</v>
      </c>
      <c r="I413" s="8">
        <f>23*D413/100</f>
        <v>2.3</v>
      </c>
      <c r="J413" s="9">
        <f>22*D413/100</f>
        <v>2.2</v>
      </c>
      <c r="K413" s="8">
        <f>3*D413/100</f>
        <v>0.3</v>
      </c>
      <c r="L413" s="9">
        <f>19*D413/100</f>
        <v>1.9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38">
        <v>0</v>
      </c>
    </row>
    <row r="414" spans="1:19" ht="16.5" customHeight="1">
      <c r="A414" s="82" t="s">
        <v>182</v>
      </c>
      <c r="B414" s="3" t="s">
        <v>183</v>
      </c>
      <c r="C414" s="83"/>
      <c r="D414" s="3">
        <v>40</v>
      </c>
      <c r="E414" s="3"/>
      <c r="F414" s="3">
        <v>9.56</v>
      </c>
      <c r="G414" s="3">
        <v>1.03</v>
      </c>
      <c r="H414" s="3">
        <v>81.04</v>
      </c>
      <c r="I414" s="3">
        <v>80.9</v>
      </c>
      <c r="J414" s="3">
        <v>40.3</v>
      </c>
      <c r="K414" s="3">
        <v>8.1</v>
      </c>
      <c r="L414" s="3">
        <v>12.4</v>
      </c>
      <c r="M414" s="3">
        <v>24.9</v>
      </c>
      <c r="N414" s="3">
        <v>0.48</v>
      </c>
      <c r="O414" s="3">
        <v>0</v>
      </c>
      <c r="P414" s="3">
        <v>0</v>
      </c>
      <c r="Q414" s="3">
        <v>0</v>
      </c>
      <c r="R414" s="3">
        <v>0.462</v>
      </c>
      <c r="S414" s="3">
        <v>0</v>
      </c>
    </row>
    <row r="415" spans="1:19" ht="16.5" customHeight="1">
      <c r="A415" s="11"/>
      <c r="B415" s="24" t="s">
        <v>35</v>
      </c>
      <c r="C415" s="24"/>
      <c r="D415" s="23">
        <v>10</v>
      </c>
      <c r="E415" s="23">
        <v>10</v>
      </c>
      <c r="F415" s="8">
        <f>72.5*D415/100</f>
        <v>7.25</v>
      </c>
      <c r="G415" s="8">
        <f>1.3*D415/100</f>
        <v>0.13</v>
      </c>
      <c r="H415" s="8">
        <f>661*D415/100</f>
        <v>66.1</v>
      </c>
      <c r="I415" s="8">
        <f>23*D415/100</f>
        <v>2.3</v>
      </c>
      <c r="J415" s="9">
        <f>22*D415/100</f>
        <v>2.2</v>
      </c>
      <c r="K415" s="8">
        <f>3*D415/100</f>
        <v>0.3</v>
      </c>
      <c r="L415" s="9">
        <f>19*D415/100</f>
        <v>1.9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38">
        <v>0</v>
      </c>
    </row>
    <row r="416" spans="1:19" ht="16.5" customHeight="1">
      <c r="A416" s="11"/>
      <c r="B416" s="23" t="s">
        <v>184</v>
      </c>
      <c r="C416" s="23"/>
      <c r="D416" s="23">
        <v>30</v>
      </c>
      <c r="E416" s="8">
        <v>30</v>
      </c>
      <c r="F416" s="38">
        <f>7.7*E416/100</f>
        <v>2.31</v>
      </c>
      <c r="G416" s="38">
        <f>3*E416/100</f>
        <v>0.9</v>
      </c>
      <c r="H416" s="38">
        <f>49.8*E416/100</f>
        <v>14.94</v>
      </c>
      <c r="I416" s="38">
        <f>262*E416/100</f>
        <v>78.6</v>
      </c>
      <c r="J416" s="38">
        <f>127*E416/100</f>
        <v>38.1</v>
      </c>
      <c r="K416" s="38">
        <f>26*E416/100</f>
        <v>7.8</v>
      </c>
      <c r="L416" s="38">
        <f>35*E416/100</f>
        <v>10.5</v>
      </c>
      <c r="M416" s="38">
        <f>83*E416/100</f>
        <v>24.9</v>
      </c>
      <c r="N416" s="38">
        <f>1.6*E416/100</f>
        <v>0.48</v>
      </c>
      <c r="O416" s="38">
        <v>0</v>
      </c>
      <c r="P416" s="38">
        <v>0</v>
      </c>
      <c r="Q416" s="38">
        <v>0</v>
      </c>
      <c r="R416" s="38">
        <f>1.54*E416/100</f>
        <v>0.462</v>
      </c>
      <c r="S416" s="38">
        <v>0</v>
      </c>
    </row>
    <row r="417" spans="1:19" ht="16.5" customHeight="1">
      <c r="A417" s="11" t="s">
        <v>74</v>
      </c>
      <c r="B417" s="5" t="s">
        <v>75</v>
      </c>
      <c r="C417" s="39">
        <v>200</v>
      </c>
      <c r="D417" s="23"/>
      <c r="E417" s="2"/>
      <c r="F417" s="3">
        <f aca="true" t="shared" si="43" ref="F417:S417">SUM(F418:F419)</f>
        <v>0.1</v>
      </c>
      <c r="G417" s="3">
        <f t="shared" si="43"/>
        <v>0</v>
      </c>
      <c r="H417" s="3">
        <f t="shared" si="43"/>
        <v>15</v>
      </c>
      <c r="I417" s="3">
        <f t="shared" si="43"/>
        <v>57.599999999999994</v>
      </c>
      <c r="J417" s="3">
        <f t="shared" si="43"/>
        <v>12.9</v>
      </c>
      <c r="K417" s="3">
        <f t="shared" si="43"/>
        <v>2.9</v>
      </c>
      <c r="L417" s="3">
        <f t="shared" si="43"/>
        <v>2.2</v>
      </c>
      <c r="M417" s="3">
        <f t="shared" si="43"/>
        <v>4.1</v>
      </c>
      <c r="N417" s="3">
        <f t="shared" si="43"/>
        <v>0.4</v>
      </c>
      <c r="O417" s="3">
        <f t="shared" si="43"/>
        <v>0</v>
      </c>
      <c r="P417" s="3">
        <f t="shared" si="43"/>
        <v>0</v>
      </c>
      <c r="Q417" s="3">
        <f t="shared" si="43"/>
        <v>0</v>
      </c>
      <c r="R417" s="32">
        <f t="shared" si="43"/>
        <v>0</v>
      </c>
      <c r="S417" s="3">
        <f t="shared" si="43"/>
        <v>0</v>
      </c>
    </row>
    <row r="418" spans="1:19" ht="16.5" customHeight="1">
      <c r="A418" s="87" t="s">
        <v>188</v>
      </c>
      <c r="B418" s="88" t="s">
        <v>189</v>
      </c>
      <c r="C418" s="88"/>
      <c r="D418" s="88">
        <v>50</v>
      </c>
      <c r="E418" s="88">
        <v>50</v>
      </c>
      <c r="F418" s="88">
        <v>0.1</v>
      </c>
      <c r="G418" s="88">
        <v>0</v>
      </c>
      <c r="H418" s="88">
        <v>0</v>
      </c>
      <c r="I418" s="88">
        <v>0.8</v>
      </c>
      <c r="J418" s="88">
        <v>12.4</v>
      </c>
      <c r="K418" s="88">
        <v>2.5</v>
      </c>
      <c r="L418" s="88">
        <v>2.2</v>
      </c>
      <c r="M418" s="88">
        <v>4.1</v>
      </c>
      <c r="N418" s="88">
        <v>0.4</v>
      </c>
      <c r="O418" s="88">
        <v>0</v>
      </c>
      <c r="P418" s="88">
        <v>0</v>
      </c>
      <c r="Q418" s="88">
        <v>0</v>
      </c>
      <c r="R418" s="88">
        <v>0</v>
      </c>
      <c r="S418" s="88">
        <v>0</v>
      </c>
    </row>
    <row r="419" spans="1:19" ht="16.5" customHeight="1">
      <c r="A419" s="89"/>
      <c r="B419" s="88" t="s">
        <v>28</v>
      </c>
      <c r="C419" s="88"/>
      <c r="D419" s="88">
        <v>15</v>
      </c>
      <c r="E419" s="88">
        <v>15</v>
      </c>
      <c r="F419" s="88">
        <v>0</v>
      </c>
      <c r="G419" s="88">
        <v>0</v>
      </c>
      <c r="H419" s="88">
        <v>15</v>
      </c>
      <c r="I419" s="88">
        <v>56.8</v>
      </c>
      <c r="J419" s="88">
        <v>0.5</v>
      </c>
      <c r="K419" s="88">
        <v>0.4</v>
      </c>
      <c r="L419" s="88">
        <v>0</v>
      </c>
      <c r="M419" s="88">
        <v>0</v>
      </c>
      <c r="N419" s="88">
        <v>0</v>
      </c>
      <c r="O419" s="88">
        <v>0</v>
      </c>
      <c r="P419" s="88">
        <v>0</v>
      </c>
      <c r="Q419" s="88">
        <v>0</v>
      </c>
      <c r="R419" s="88">
        <v>0</v>
      </c>
      <c r="S419" s="88">
        <v>0</v>
      </c>
    </row>
    <row r="420" spans="1:19" ht="16.5" customHeight="1">
      <c r="A420" s="89"/>
      <c r="B420" s="88" t="s">
        <v>33</v>
      </c>
      <c r="C420" s="88"/>
      <c r="D420" s="88">
        <v>150</v>
      </c>
      <c r="E420" s="88">
        <v>150</v>
      </c>
      <c r="F420" s="88">
        <v>0</v>
      </c>
      <c r="G420" s="88">
        <v>0</v>
      </c>
      <c r="H420" s="88">
        <v>0</v>
      </c>
      <c r="I420" s="88">
        <v>0</v>
      </c>
      <c r="J420" s="88">
        <v>0</v>
      </c>
      <c r="K420" s="88">
        <v>0</v>
      </c>
      <c r="L420" s="88">
        <v>0</v>
      </c>
      <c r="M420" s="88">
        <v>0</v>
      </c>
      <c r="N420" s="88">
        <v>0</v>
      </c>
      <c r="O420" s="88">
        <v>0</v>
      </c>
      <c r="P420" s="88">
        <v>0</v>
      </c>
      <c r="Q420" s="88">
        <v>0</v>
      </c>
      <c r="R420" s="88">
        <v>0</v>
      </c>
      <c r="S420" s="88">
        <v>0</v>
      </c>
    </row>
    <row r="421" spans="1:19" ht="16.5" customHeight="1">
      <c r="A421" s="3"/>
      <c r="B421" s="2" t="s">
        <v>1</v>
      </c>
      <c r="C421" s="2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1:19" ht="16.5" customHeight="1">
      <c r="A422" s="11" t="s">
        <v>59</v>
      </c>
      <c r="B422" s="29" t="s">
        <v>169</v>
      </c>
      <c r="C422" s="29">
        <v>250</v>
      </c>
      <c r="D422" s="23"/>
      <c r="E422" s="3"/>
      <c r="F422" s="3">
        <v>4.93</v>
      </c>
      <c r="G422" s="3">
        <v>6.28</v>
      </c>
      <c r="H422" s="3">
        <v>24.97</v>
      </c>
      <c r="I422" s="3">
        <v>177.7</v>
      </c>
      <c r="J422" s="3">
        <v>411.01</v>
      </c>
      <c r="K422" s="3">
        <v>56.94</v>
      </c>
      <c r="L422" s="3">
        <v>30.65</v>
      </c>
      <c r="M422" s="3">
        <v>103</v>
      </c>
      <c r="N422" s="3">
        <v>1.01</v>
      </c>
      <c r="O422" s="3">
        <v>0</v>
      </c>
      <c r="P422" s="3">
        <v>0.09</v>
      </c>
      <c r="Q422" s="3">
        <v>0.035</v>
      </c>
      <c r="R422" s="3">
        <v>0.99</v>
      </c>
      <c r="S422" s="3">
        <v>11.9</v>
      </c>
    </row>
    <row r="423" spans="1:19" ht="16.5" customHeight="1">
      <c r="A423" s="11"/>
      <c r="B423" s="27" t="s">
        <v>29</v>
      </c>
      <c r="C423" s="27"/>
      <c r="D423" s="23">
        <v>66.8</v>
      </c>
      <c r="E423" s="23">
        <v>50</v>
      </c>
      <c r="F423" s="23">
        <v>1.5</v>
      </c>
      <c r="G423" s="23">
        <v>0.3</v>
      </c>
      <c r="H423" s="23">
        <v>12.23</v>
      </c>
      <c r="I423" s="23">
        <v>57.75</v>
      </c>
      <c r="J423" s="23">
        <v>426</v>
      </c>
      <c r="K423" s="23">
        <v>7.5</v>
      </c>
      <c r="L423" s="23">
        <v>43.5</v>
      </c>
      <c r="M423" s="23">
        <v>0.68</v>
      </c>
      <c r="N423" s="23">
        <v>0</v>
      </c>
      <c r="O423" s="23">
        <v>0.09</v>
      </c>
      <c r="P423" s="23">
        <v>0</v>
      </c>
      <c r="Q423" s="23">
        <v>0</v>
      </c>
      <c r="R423" s="23">
        <v>0.98</v>
      </c>
      <c r="S423" s="23">
        <v>15</v>
      </c>
    </row>
    <row r="424" spans="1:19" ht="16.5" customHeight="1">
      <c r="A424" s="11"/>
      <c r="B424" s="65" t="s">
        <v>40</v>
      </c>
      <c r="C424" s="27"/>
      <c r="D424" s="23">
        <v>25</v>
      </c>
      <c r="E424" s="23">
        <v>20</v>
      </c>
      <c r="F424" s="23">
        <v>0.63</v>
      </c>
      <c r="G424" s="23">
        <v>0</v>
      </c>
      <c r="H424" s="23">
        <v>3.6</v>
      </c>
      <c r="I424" s="23">
        <v>16.3</v>
      </c>
      <c r="J424" s="23">
        <v>0</v>
      </c>
      <c r="K424" s="23">
        <v>0</v>
      </c>
      <c r="L424" s="23">
        <v>0</v>
      </c>
      <c r="M424" s="23">
        <v>13.8</v>
      </c>
      <c r="N424" s="23">
        <v>0.34</v>
      </c>
      <c r="O424" s="23">
        <v>0</v>
      </c>
      <c r="P424" s="23">
        <v>0</v>
      </c>
      <c r="Q424" s="23">
        <v>0</v>
      </c>
      <c r="R424" s="23">
        <v>0.07</v>
      </c>
      <c r="S424" s="23">
        <v>0</v>
      </c>
    </row>
    <row r="425" spans="1:19" ht="16.5" customHeight="1">
      <c r="A425" s="11"/>
      <c r="B425" s="27" t="s">
        <v>30</v>
      </c>
      <c r="C425" s="27"/>
      <c r="D425" s="23">
        <v>12.5</v>
      </c>
      <c r="E425" s="23">
        <v>10</v>
      </c>
      <c r="F425" s="23">
        <v>0.13</v>
      </c>
      <c r="G425" s="23">
        <v>0</v>
      </c>
      <c r="H425" s="23">
        <v>0.69</v>
      </c>
      <c r="I425" s="23">
        <v>3.5</v>
      </c>
      <c r="J425" s="23">
        <v>20</v>
      </c>
      <c r="K425" s="23">
        <v>2.7</v>
      </c>
      <c r="L425" s="23">
        <v>3.8</v>
      </c>
      <c r="M425" s="23">
        <v>5.5</v>
      </c>
      <c r="N425" s="23">
        <v>0.07</v>
      </c>
      <c r="O425" s="23">
        <v>0</v>
      </c>
      <c r="P425" s="23">
        <v>0</v>
      </c>
      <c r="Q425" s="23">
        <v>0</v>
      </c>
      <c r="R425" s="23">
        <v>0.1</v>
      </c>
      <c r="S425" s="23">
        <v>0.5</v>
      </c>
    </row>
    <row r="426" spans="1:19" ht="16.5" customHeight="1">
      <c r="A426" s="11"/>
      <c r="B426" s="27" t="s">
        <v>31</v>
      </c>
      <c r="C426" s="27"/>
      <c r="D426" s="23">
        <v>12</v>
      </c>
      <c r="E426" s="23">
        <v>10</v>
      </c>
      <c r="F426" s="23">
        <v>0</v>
      </c>
      <c r="G426" s="23">
        <v>0</v>
      </c>
      <c r="H426" s="23">
        <v>0.41</v>
      </c>
      <c r="I426" s="23">
        <v>2.05</v>
      </c>
      <c r="J426" s="23">
        <v>8.75</v>
      </c>
      <c r="K426" s="23">
        <v>1.55</v>
      </c>
      <c r="L426" s="23">
        <v>0.7</v>
      </c>
      <c r="M426" s="23">
        <v>2.9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0.5</v>
      </c>
    </row>
    <row r="427" spans="1:19" ht="16.5" customHeight="1">
      <c r="A427" s="11"/>
      <c r="B427" s="65" t="s">
        <v>170</v>
      </c>
      <c r="C427" s="27"/>
      <c r="D427" s="23">
        <v>11.5</v>
      </c>
      <c r="E427" s="23">
        <v>8</v>
      </c>
      <c r="F427" s="23">
        <v>0.12</v>
      </c>
      <c r="G427" s="23">
        <v>0</v>
      </c>
      <c r="H427" s="23">
        <v>0.26</v>
      </c>
      <c r="I427" s="23">
        <v>1.95</v>
      </c>
      <c r="J427" s="23">
        <v>21.15</v>
      </c>
      <c r="K427" s="23">
        <v>3.45</v>
      </c>
      <c r="L427" s="23">
        <v>2.1</v>
      </c>
      <c r="M427" s="23">
        <v>3.6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0.75</v>
      </c>
    </row>
    <row r="428" spans="1:19" ht="16.5" customHeight="1">
      <c r="A428" s="11"/>
      <c r="B428" s="65" t="s">
        <v>76</v>
      </c>
      <c r="C428" s="27"/>
      <c r="D428" s="23">
        <v>5</v>
      </c>
      <c r="E428" s="23">
        <v>5</v>
      </c>
      <c r="F428" s="23">
        <v>0</v>
      </c>
      <c r="G428" s="23">
        <v>5</v>
      </c>
      <c r="H428" s="23">
        <v>0</v>
      </c>
      <c r="I428" s="23">
        <v>45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</row>
    <row r="429" spans="1:19" ht="16.5" customHeight="1">
      <c r="A429" s="11"/>
      <c r="B429" s="27" t="s">
        <v>46</v>
      </c>
      <c r="C429" s="27"/>
      <c r="D429" s="23">
        <v>2.5</v>
      </c>
      <c r="E429" s="23">
        <v>2.5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</row>
    <row r="430" spans="1:19" ht="16.5" customHeight="1">
      <c r="A430" s="11"/>
      <c r="B430" s="27" t="s">
        <v>33</v>
      </c>
      <c r="C430" s="27"/>
      <c r="D430" s="23">
        <v>188</v>
      </c>
      <c r="E430" s="23">
        <v>188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</row>
    <row r="431" spans="1:19" ht="16.5" customHeight="1">
      <c r="A431" s="11"/>
      <c r="B431" s="27" t="s">
        <v>50</v>
      </c>
      <c r="C431" s="27"/>
      <c r="D431" s="23">
        <v>5</v>
      </c>
      <c r="E431" s="23">
        <v>5</v>
      </c>
      <c r="F431" s="23">
        <v>0.7</v>
      </c>
      <c r="G431" s="23">
        <v>0.8</v>
      </c>
      <c r="H431" s="23">
        <v>0.1</v>
      </c>
      <c r="I431" s="23">
        <v>12</v>
      </c>
      <c r="J431" s="23">
        <v>6.3</v>
      </c>
      <c r="K431" s="23">
        <v>5</v>
      </c>
      <c r="L431" s="23">
        <v>0.4</v>
      </c>
      <c r="M431" s="23">
        <v>3.5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</row>
    <row r="432" spans="1:19" ht="16.5" customHeight="1">
      <c r="A432" s="11"/>
      <c r="B432" s="25" t="s">
        <v>46</v>
      </c>
      <c r="C432" s="25"/>
      <c r="D432" s="23">
        <v>2.5</v>
      </c>
      <c r="E432" s="23">
        <v>2.5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</row>
    <row r="433" spans="1:19" ht="16.5" customHeight="1">
      <c r="A433" s="11"/>
      <c r="B433" s="14" t="s">
        <v>48</v>
      </c>
      <c r="C433" s="1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1:19" ht="16.5" customHeight="1">
      <c r="A434" s="11">
        <v>295</v>
      </c>
      <c r="B434" s="20" t="s">
        <v>158</v>
      </c>
      <c r="C434" s="5">
        <v>60</v>
      </c>
      <c r="D434" s="21"/>
      <c r="E434" s="22"/>
      <c r="F434" s="22">
        <f>F435+F436+F437+F438+F440</f>
        <v>15.4632</v>
      </c>
      <c r="G434" s="22">
        <f aca="true" t="shared" si="44" ref="G434:S434">G435+G436+G437+G438+G440</f>
        <v>1.3439999999999999</v>
      </c>
      <c r="H434" s="22">
        <f t="shared" si="44"/>
        <v>47.596799999999995</v>
      </c>
      <c r="I434" s="22">
        <f t="shared" si="44"/>
        <v>89.71199999999999</v>
      </c>
      <c r="J434" s="22">
        <f t="shared" si="44"/>
        <v>143.772</v>
      </c>
      <c r="K434" s="22">
        <f t="shared" si="44"/>
        <v>7.596</v>
      </c>
      <c r="L434" s="22">
        <f t="shared" si="44"/>
        <v>42.72</v>
      </c>
      <c r="M434" s="22">
        <f t="shared" si="44"/>
        <v>84.768</v>
      </c>
      <c r="N434" s="22">
        <f t="shared" si="44"/>
        <v>0.8375999999999999</v>
      </c>
      <c r="O434" s="22">
        <f t="shared" si="44"/>
        <v>29.4</v>
      </c>
      <c r="P434" s="22">
        <f t="shared" si="44"/>
        <v>0.029400000000000003</v>
      </c>
      <c r="Q434" s="22">
        <f t="shared" si="44"/>
        <v>0.029400000000000003</v>
      </c>
      <c r="R434" s="22">
        <f t="shared" si="44"/>
        <v>4.73424</v>
      </c>
      <c r="S434" s="22">
        <f t="shared" si="44"/>
        <v>0.7560000000000001</v>
      </c>
    </row>
    <row r="435" spans="1:19" ht="16.5" customHeight="1">
      <c r="A435" s="11"/>
      <c r="B435" s="41" t="s">
        <v>137</v>
      </c>
      <c r="C435" s="41"/>
      <c r="D435" s="21">
        <v>42</v>
      </c>
      <c r="E435" s="21">
        <v>42</v>
      </c>
      <c r="F435" s="21">
        <f>23.6*E435/100</f>
        <v>9.912</v>
      </c>
      <c r="G435" s="21">
        <f>1.9*E435/100</f>
        <v>0.7979999999999999</v>
      </c>
      <c r="H435" s="21">
        <f>0.4*E435/100</f>
        <v>0.168</v>
      </c>
      <c r="I435" s="21">
        <f>113*E435/100</f>
        <v>47.46</v>
      </c>
      <c r="J435" s="21">
        <f>292*E435/100</f>
        <v>122.64</v>
      </c>
      <c r="K435" s="21">
        <f>8*E435/100</f>
        <v>3.36</v>
      </c>
      <c r="L435" s="21">
        <f>86*E435/100</f>
        <v>36.12</v>
      </c>
      <c r="M435" s="21">
        <f>171*E435/100</f>
        <v>71.82</v>
      </c>
      <c r="N435" s="21">
        <f>1.4*E435/100</f>
        <v>0.588</v>
      </c>
      <c r="O435" s="21">
        <f>70*E435/100</f>
        <v>29.4</v>
      </c>
      <c r="P435" s="21">
        <f>0.07*E435/100</f>
        <v>0.029400000000000003</v>
      </c>
      <c r="Q435" s="21">
        <f>0.07*E435/100</f>
        <v>0.029400000000000003</v>
      </c>
      <c r="R435" s="21">
        <f>10.7*E435/100</f>
        <v>4.494</v>
      </c>
      <c r="S435" s="21">
        <f>1.8*E435/100</f>
        <v>0.7560000000000001</v>
      </c>
    </row>
    <row r="436" spans="1:19" ht="16.5" customHeight="1">
      <c r="A436" s="11"/>
      <c r="B436" s="41" t="s">
        <v>68</v>
      </c>
      <c r="C436" s="41"/>
      <c r="D436" s="21">
        <v>9.6</v>
      </c>
      <c r="E436" s="21">
        <v>9.6</v>
      </c>
      <c r="F436" s="38">
        <f>7.7*E436/100</f>
        <v>0.7392</v>
      </c>
      <c r="G436" s="38">
        <f>3*E436/100</f>
        <v>0.288</v>
      </c>
      <c r="H436" s="38">
        <f>49.8*E436/100</f>
        <v>4.780799999999999</v>
      </c>
      <c r="I436" s="38">
        <f>262*E436/100</f>
        <v>25.151999999999997</v>
      </c>
      <c r="J436" s="38">
        <f>127*E436/100</f>
        <v>12.192</v>
      </c>
      <c r="K436" s="38">
        <f>26*E436/100</f>
        <v>2.496</v>
      </c>
      <c r="L436" s="38">
        <f>35*E436/100</f>
        <v>3.36</v>
      </c>
      <c r="M436" s="38">
        <f>83*E436/100</f>
        <v>7.968</v>
      </c>
      <c r="N436" s="38">
        <f>1.6*E436/100</f>
        <v>0.1536</v>
      </c>
      <c r="O436" s="38">
        <v>0</v>
      </c>
      <c r="P436" s="38">
        <v>0</v>
      </c>
      <c r="Q436" s="38">
        <v>0</v>
      </c>
      <c r="R436" s="38">
        <f>1.54*E436/100</f>
        <v>0.14784</v>
      </c>
      <c r="S436" s="38">
        <v>0</v>
      </c>
    </row>
    <row r="437" spans="1:19" ht="16.5" customHeight="1">
      <c r="A437" s="11"/>
      <c r="B437" s="41" t="s">
        <v>33</v>
      </c>
      <c r="C437" s="41"/>
      <c r="D437" s="21">
        <v>14.4</v>
      </c>
      <c r="E437" s="21">
        <v>14.4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</row>
    <row r="438" spans="1:19" ht="16.5" customHeight="1">
      <c r="A438" s="19"/>
      <c r="B438" s="48" t="s">
        <v>81</v>
      </c>
      <c r="C438" s="48"/>
      <c r="D438" s="49">
        <v>6</v>
      </c>
      <c r="E438" s="28">
        <v>6</v>
      </c>
      <c r="F438" s="38">
        <f>7.7*E438/100</f>
        <v>0.462</v>
      </c>
      <c r="G438" s="38">
        <f>3*E438/100</f>
        <v>0.18</v>
      </c>
      <c r="H438" s="38">
        <f>49.8*E438/100</f>
        <v>2.9879999999999995</v>
      </c>
      <c r="I438" s="38">
        <f>262*E438/100</f>
        <v>15.72</v>
      </c>
      <c r="J438" s="38">
        <f>127*E438/100</f>
        <v>7.62</v>
      </c>
      <c r="K438" s="38">
        <f>26*E438/100</f>
        <v>1.56</v>
      </c>
      <c r="L438" s="38">
        <f>35*E438/100</f>
        <v>2.1</v>
      </c>
      <c r="M438" s="38">
        <f>83*E438/100</f>
        <v>4.98</v>
      </c>
      <c r="N438" s="38">
        <f>1.6*E438/100</f>
        <v>0.09600000000000002</v>
      </c>
      <c r="O438" s="38">
        <v>0</v>
      </c>
      <c r="P438" s="38">
        <v>0</v>
      </c>
      <c r="Q438" s="38">
        <v>0</v>
      </c>
      <c r="R438" s="38">
        <f>1.54*E438/100</f>
        <v>0.0924</v>
      </c>
      <c r="S438" s="38">
        <v>0</v>
      </c>
    </row>
    <row r="439" spans="1:19" ht="16.5" customHeight="1">
      <c r="A439" s="11"/>
      <c r="B439" s="18" t="s">
        <v>46</v>
      </c>
      <c r="C439" s="18"/>
      <c r="D439" s="15">
        <v>1</v>
      </c>
      <c r="E439" s="15">
        <v>1</v>
      </c>
      <c r="F439" s="15">
        <v>0</v>
      </c>
      <c r="G439" s="15">
        <v>0</v>
      </c>
      <c r="H439" s="17">
        <v>0</v>
      </c>
      <c r="I439" s="17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</row>
    <row r="440" spans="1:19" ht="16.5" customHeight="1">
      <c r="A440" s="19"/>
      <c r="B440" s="24" t="s">
        <v>76</v>
      </c>
      <c r="C440" s="24"/>
      <c r="D440" s="15">
        <v>6</v>
      </c>
      <c r="E440" s="15">
        <v>6</v>
      </c>
      <c r="F440" s="15">
        <f>72.5*D440/100</f>
        <v>4.35</v>
      </c>
      <c r="G440" s="15">
        <f>1.3*D440/100</f>
        <v>0.07800000000000001</v>
      </c>
      <c r="H440" s="15">
        <f>661*D440/100</f>
        <v>39.66</v>
      </c>
      <c r="I440" s="15">
        <f>23*D440/100</f>
        <v>1.38</v>
      </c>
      <c r="J440" s="17">
        <f>22*D440/100</f>
        <v>1.32</v>
      </c>
      <c r="K440" s="15">
        <f>3*D440/100</f>
        <v>0.18</v>
      </c>
      <c r="L440" s="17">
        <f>19*D440/100</f>
        <v>1.14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38">
        <v>0</v>
      </c>
    </row>
    <row r="441" spans="1:19" ht="16.5" customHeight="1">
      <c r="A441" s="11">
        <v>171</v>
      </c>
      <c r="B441" s="3" t="s">
        <v>161</v>
      </c>
      <c r="C441" s="3">
        <v>150</v>
      </c>
      <c r="D441" s="15"/>
      <c r="E441" s="15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1:19" ht="16.5" customHeight="1">
      <c r="A442" s="11"/>
      <c r="B442" s="37" t="s">
        <v>151</v>
      </c>
      <c r="C442" s="18"/>
      <c r="D442" s="21">
        <v>68</v>
      </c>
      <c r="E442" s="21">
        <v>68</v>
      </c>
      <c r="F442" s="21">
        <f>12.6*E442/100</f>
        <v>8.568</v>
      </c>
      <c r="G442" s="21">
        <f>3.3*E442/100</f>
        <v>2.2439999999999998</v>
      </c>
      <c r="H442" s="21">
        <f>62.1*E442/100</f>
        <v>42.228</v>
      </c>
      <c r="I442" s="21">
        <f>335*E442/100</f>
        <v>227.8</v>
      </c>
      <c r="J442" s="21">
        <f>167*E442/100</f>
        <v>113.56</v>
      </c>
      <c r="K442" s="21">
        <f>70*E442/100</f>
        <v>47.6</v>
      </c>
      <c r="L442" s="21">
        <f>98*E442/100</f>
        <v>66.64</v>
      </c>
      <c r="M442" s="21">
        <f>298*E442/100</f>
        <v>202.64</v>
      </c>
      <c r="N442" s="21">
        <f>8*E442/100</f>
        <v>5.44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</row>
    <row r="443" spans="1:19" ht="16.5" customHeight="1">
      <c r="A443" s="11"/>
      <c r="B443" s="24" t="s">
        <v>46</v>
      </c>
      <c r="C443" s="18"/>
      <c r="D443" s="15">
        <v>1.5</v>
      </c>
      <c r="E443" s="38">
        <v>1.5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</row>
    <row r="444" spans="1:19" ht="16.5" customHeight="1">
      <c r="A444" s="11"/>
      <c r="B444" s="24" t="s">
        <v>35</v>
      </c>
      <c r="C444" s="18"/>
      <c r="D444" s="15">
        <v>6</v>
      </c>
      <c r="E444" s="38">
        <v>6</v>
      </c>
      <c r="F444" s="15">
        <v>0</v>
      </c>
      <c r="G444" s="15">
        <f>72.5*E444/100</f>
        <v>4.35</v>
      </c>
      <c r="H444" s="15">
        <v>0</v>
      </c>
      <c r="I444" s="15">
        <f>661*E444/100</f>
        <v>39.66</v>
      </c>
      <c r="J444" s="15">
        <f>23*E444/100</f>
        <v>1.38</v>
      </c>
      <c r="K444" s="15">
        <f>22*E444/100</f>
        <v>1.32</v>
      </c>
      <c r="L444" s="15">
        <f>3*E444/100</f>
        <v>0.18</v>
      </c>
      <c r="M444" s="15">
        <f>19*E444/100</f>
        <v>1.14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</row>
    <row r="445" spans="1:19" ht="16.5" customHeight="1">
      <c r="A445" s="11" t="s">
        <v>74</v>
      </c>
      <c r="B445" s="5" t="s">
        <v>75</v>
      </c>
      <c r="C445" s="39">
        <v>200</v>
      </c>
      <c r="D445" s="23"/>
      <c r="E445" s="2"/>
      <c r="F445" s="3">
        <f aca="true" t="shared" si="45" ref="F445:S445">SUM(F446:F448)</f>
        <v>0.1</v>
      </c>
      <c r="G445" s="3">
        <f t="shared" si="45"/>
        <v>0</v>
      </c>
      <c r="H445" s="3">
        <f t="shared" si="45"/>
        <v>15</v>
      </c>
      <c r="I445" s="3">
        <f t="shared" si="45"/>
        <v>57.699999999999996</v>
      </c>
      <c r="J445" s="3">
        <f t="shared" si="45"/>
        <v>12.9</v>
      </c>
      <c r="K445" s="3">
        <f t="shared" si="45"/>
        <v>2.9</v>
      </c>
      <c r="L445" s="3">
        <f t="shared" si="45"/>
        <v>2.2</v>
      </c>
      <c r="M445" s="3">
        <f t="shared" si="45"/>
        <v>4.12</v>
      </c>
      <c r="N445" s="3">
        <f t="shared" si="45"/>
        <v>0.4</v>
      </c>
      <c r="O445" s="3">
        <f t="shared" si="45"/>
        <v>0</v>
      </c>
      <c r="P445" s="3">
        <f t="shared" si="45"/>
        <v>0</v>
      </c>
      <c r="Q445" s="3">
        <f t="shared" si="45"/>
        <v>0</v>
      </c>
      <c r="R445" s="32">
        <f t="shared" si="45"/>
        <v>0</v>
      </c>
      <c r="S445" s="3">
        <f t="shared" si="45"/>
        <v>0</v>
      </c>
    </row>
    <row r="446" spans="1:19" ht="16.5" customHeight="1">
      <c r="A446" s="11"/>
      <c r="B446" s="13" t="s">
        <v>38</v>
      </c>
      <c r="C446" s="23"/>
      <c r="D446" s="33">
        <v>50</v>
      </c>
      <c r="E446" s="33">
        <v>50</v>
      </c>
      <c r="F446" s="8">
        <v>0.1</v>
      </c>
      <c r="G446" s="8">
        <v>0</v>
      </c>
      <c r="H446" s="8">
        <v>0</v>
      </c>
      <c r="I446" s="8">
        <v>0.8</v>
      </c>
      <c r="J446" s="9">
        <v>12.4</v>
      </c>
      <c r="K446" s="8">
        <v>2.5</v>
      </c>
      <c r="L446" s="8">
        <v>2.2</v>
      </c>
      <c r="M446" s="9">
        <v>4.12</v>
      </c>
      <c r="N446" s="8">
        <v>0.4</v>
      </c>
      <c r="O446" s="8">
        <v>0</v>
      </c>
      <c r="P446" s="8">
        <v>0</v>
      </c>
      <c r="Q446" s="8">
        <v>0</v>
      </c>
      <c r="R446" s="34">
        <v>0</v>
      </c>
      <c r="S446" s="8">
        <v>0</v>
      </c>
    </row>
    <row r="447" spans="1:19" ht="16.5" customHeight="1">
      <c r="A447" s="11"/>
      <c r="B447" s="13" t="s">
        <v>28</v>
      </c>
      <c r="C447" s="23"/>
      <c r="D447" s="33">
        <v>15</v>
      </c>
      <c r="E447" s="33">
        <v>15</v>
      </c>
      <c r="F447" s="8">
        <v>0</v>
      </c>
      <c r="G447" s="8">
        <v>0</v>
      </c>
      <c r="H447" s="8">
        <v>15</v>
      </c>
      <c r="I447" s="8">
        <v>56.9</v>
      </c>
      <c r="J447" s="9">
        <v>0.5</v>
      </c>
      <c r="K447" s="8">
        <v>0.4</v>
      </c>
      <c r="L447" s="8">
        <v>0</v>
      </c>
      <c r="M447" s="9">
        <v>0</v>
      </c>
      <c r="N447" s="8">
        <v>0</v>
      </c>
      <c r="O447" s="8">
        <v>0</v>
      </c>
      <c r="P447" s="8">
        <v>0</v>
      </c>
      <c r="Q447" s="8">
        <v>0</v>
      </c>
      <c r="R447" s="34">
        <v>0</v>
      </c>
      <c r="S447" s="8">
        <v>0</v>
      </c>
    </row>
    <row r="448" spans="1:19" ht="16.5" customHeight="1">
      <c r="A448" s="11"/>
      <c r="B448" s="13" t="s">
        <v>33</v>
      </c>
      <c r="C448" s="23"/>
      <c r="D448" s="33">
        <v>150</v>
      </c>
      <c r="E448" s="33">
        <v>150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34">
        <v>0</v>
      </c>
      <c r="S448" s="8">
        <v>0</v>
      </c>
    </row>
    <row r="449" spans="1:19" ht="30" customHeight="1">
      <c r="A449" s="11" t="s">
        <v>23</v>
      </c>
      <c r="B449" s="5" t="s">
        <v>89</v>
      </c>
      <c r="C449" s="5">
        <v>20</v>
      </c>
      <c r="D449" s="8">
        <v>20</v>
      </c>
      <c r="E449" s="38">
        <v>20</v>
      </c>
      <c r="F449" s="3">
        <f>7.7*E449/100</f>
        <v>1.54</v>
      </c>
      <c r="G449" s="3">
        <v>5.4</v>
      </c>
      <c r="H449" s="3">
        <f>49.8*E449/100</f>
        <v>9.96</v>
      </c>
      <c r="I449" s="3">
        <f>262*E449/100</f>
        <v>52.4</v>
      </c>
      <c r="J449" s="3">
        <f>127*E449/100</f>
        <v>25.4</v>
      </c>
      <c r="K449" s="3">
        <f>26*E449/100</f>
        <v>5.2</v>
      </c>
      <c r="L449" s="3">
        <f>35*E449/100</f>
        <v>7</v>
      </c>
      <c r="M449" s="3">
        <f>83*E449/100</f>
        <v>16.6</v>
      </c>
      <c r="N449" s="3">
        <f>1.6*E449/100</f>
        <v>0.32</v>
      </c>
      <c r="O449" s="3">
        <v>0</v>
      </c>
      <c r="P449" s="3">
        <v>0</v>
      </c>
      <c r="Q449" s="3">
        <v>0</v>
      </c>
      <c r="R449" s="3">
        <f>1.54*E449/100</f>
        <v>0.308</v>
      </c>
      <c r="S449" s="3">
        <v>0</v>
      </c>
    </row>
    <row r="450" spans="1:19" ht="16.5" customHeight="1">
      <c r="A450" s="3" t="s">
        <v>138</v>
      </c>
      <c r="B450" s="5" t="s">
        <v>139</v>
      </c>
      <c r="C450" s="5">
        <v>20</v>
      </c>
      <c r="D450" s="23">
        <v>20</v>
      </c>
      <c r="E450" s="23">
        <v>20</v>
      </c>
      <c r="F450" s="3">
        <f>6.6*E450/100</f>
        <v>1.32</v>
      </c>
      <c r="G450" s="3">
        <f>1.2*E450/100</f>
        <v>0.24</v>
      </c>
      <c r="H450" s="3">
        <f>34.2*E450/100</f>
        <v>6.84</v>
      </c>
      <c r="I450" s="3">
        <f>181*E450/100</f>
        <v>36.2</v>
      </c>
      <c r="J450" s="3">
        <f>94*E450/100</f>
        <v>18.8</v>
      </c>
      <c r="K450" s="3">
        <f>34*E450/100</f>
        <v>6.8</v>
      </c>
      <c r="L450" s="3">
        <f>41*E450/100</f>
        <v>8.2</v>
      </c>
      <c r="M450" s="3">
        <f>120*E450/100</f>
        <v>24</v>
      </c>
      <c r="N450" s="3">
        <f>2.3*E450/100</f>
        <v>0.46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</row>
    <row r="451" spans="1:19" ht="16.5" customHeight="1">
      <c r="A451" s="3"/>
      <c r="B451" s="2" t="s">
        <v>162</v>
      </c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1:19" ht="16.5" customHeight="1">
      <c r="A452" s="11">
        <v>295</v>
      </c>
      <c r="B452" s="20" t="s">
        <v>158</v>
      </c>
      <c r="C452" s="5">
        <v>60</v>
      </c>
      <c r="D452" s="21"/>
      <c r="E452" s="22"/>
      <c r="F452" s="22">
        <f>F453+F454+F455+F456+F458</f>
        <v>15.4632</v>
      </c>
      <c r="G452" s="22">
        <f aca="true" t="shared" si="46" ref="G452:S452">G453+G454+G455+G456+G458</f>
        <v>1.3439999999999999</v>
      </c>
      <c r="H452" s="22">
        <f t="shared" si="46"/>
        <v>47.596799999999995</v>
      </c>
      <c r="I452" s="22">
        <f t="shared" si="46"/>
        <v>89.71199999999999</v>
      </c>
      <c r="J452" s="22">
        <f t="shared" si="46"/>
        <v>143.772</v>
      </c>
      <c r="K452" s="22">
        <f t="shared" si="46"/>
        <v>7.596</v>
      </c>
      <c r="L452" s="22">
        <f t="shared" si="46"/>
        <v>42.72</v>
      </c>
      <c r="M452" s="22">
        <f t="shared" si="46"/>
        <v>84.768</v>
      </c>
      <c r="N452" s="22">
        <f t="shared" si="46"/>
        <v>0.8375999999999999</v>
      </c>
      <c r="O452" s="22">
        <f t="shared" si="46"/>
        <v>29.4</v>
      </c>
      <c r="P452" s="22">
        <f t="shared" si="46"/>
        <v>0.029400000000000003</v>
      </c>
      <c r="Q452" s="22">
        <f t="shared" si="46"/>
        <v>0.029400000000000003</v>
      </c>
      <c r="R452" s="22">
        <f t="shared" si="46"/>
        <v>4.73424</v>
      </c>
      <c r="S452" s="22">
        <f t="shared" si="46"/>
        <v>0.7560000000000001</v>
      </c>
    </row>
    <row r="453" spans="1:19" ht="16.5" customHeight="1">
      <c r="A453" s="11"/>
      <c r="B453" s="41" t="s">
        <v>137</v>
      </c>
      <c r="C453" s="41"/>
      <c r="D453" s="21">
        <v>42</v>
      </c>
      <c r="E453" s="21">
        <v>42</v>
      </c>
      <c r="F453" s="21">
        <f>23.6*E453/100</f>
        <v>9.912</v>
      </c>
      <c r="G453" s="21">
        <f>1.9*E453/100</f>
        <v>0.7979999999999999</v>
      </c>
      <c r="H453" s="21">
        <f>0.4*E453/100</f>
        <v>0.168</v>
      </c>
      <c r="I453" s="21">
        <f>113*E453/100</f>
        <v>47.46</v>
      </c>
      <c r="J453" s="21">
        <f>292*E453/100</f>
        <v>122.64</v>
      </c>
      <c r="K453" s="21">
        <f>8*E453/100</f>
        <v>3.36</v>
      </c>
      <c r="L453" s="21">
        <f>86*E453/100</f>
        <v>36.12</v>
      </c>
      <c r="M453" s="21">
        <f>171*E453/100</f>
        <v>71.82</v>
      </c>
      <c r="N453" s="21">
        <f>1.4*E453/100</f>
        <v>0.588</v>
      </c>
      <c r="O453" s="21">
        <f>70*E453/100</f>
        <v>29.4</v>
      </c>
      <c r="P453" s="21">
        <f>0.07*E453/100</f>
        <v>0.029400000000000003</v>
      </c>
      <c r="Q453" s="21">
        <f>0.07*E453/100</f>
        <v>0.029400000000000003</v>
      </c>
      <c r="R453" s="21">
        <f>10.7*E453/100</f>
        <v>4.494</v>
      </c>
      <c r="S453" s="21">
        <f>1.8*E453/100</f>
        <v>0.7560000000000001</v>
      </c>
    </row>
    <row r="454" spans="1:19" ht="16.5" customHeight="1">
      <c r="A454" s="11"/>
      <c r="B454" s="41" t="s">
        <v>68</v>
      </c>
      <c r="C454" s="41"/>
      <c r="D454" s="21">
        <v>9.6</v>
      </c>
      <c r="E454" s="21">
        <v>9.6</v>
      </c>
      <c r="F454" s="38">
        <f>7.7*E454/100</f>
        <v>0.7392</v>
      </c>
      <c r="G454" s="38">
        <f>3*E454/100</f>
        <v>0.288</v>
      </c>
      <c r="H454" s="38">
        <f>49.8*E454/100</f>
        <v>4.780799999999999</v>
      </c>
      <c r="I454" s="38">
        <f>262*E454/100</f>
        <v>25.151999999999997</v>
      </c>
      <c r="J454" s="38">
        <f>127*E454/100</f>
        <v>12.192</v>
      </c>
      <c r="K454" s="38">
        <f>26*E454/100</f>
        <v>2.496</v>
      </c>
      <c r="L454" s="38">
        <f>35*E454/100</f>
        <v>3.36</v>
      </c>
      <c r="M454" s="38">
        <f>83*E454/100</f>
        <v>7.968</v>
      </c>
      <c r="N454" s="38">
        <f>1.6*E454/100</f>
        <v>0.1536</v>
      </c>
      <c r="O454" s="38">
        <v>0</v>
      </c>
      <c r="P454" s="38">
        <v>0</v>
      </c>
      <c r="Q454" s="38">
        <v>0</v>
      </c>
      <c r="R454" s="38">
        <f>1.54*E454/100</f>
        <v>0.14784</v>
      </c>
      <c r="S454" s="38">
        <v>0</v>
      </c>
    </row>
    <row r="455" spans="1:19" ht="16.5" customHeight="1">
      <c r="A455" s="11"/>
      <c r="B455" s="41" t="s">
        <v>33</v>
      </c>
      <c r="C455" s="41"/>
      <c r="D455" s="21">
        <v>14.4</v>
      </c>
      <c r="E455" s="21">
        <v>14.4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</row>
    <row r="456" spans="1:19" ht="16.5" customHeight="1">
      <c r="A456" s="19"/>
      <c r="B456" s="48" t="s">
        <v>81</v>
      </c>
      <c r="C456" s="48"/>
      <c r="D456" s="49">
        <v>6</v>
      </c>
      <c r="E456" s="28">
        <v>6</v>
      </c>
      <c r="F456" s="38">
        <f>7.7*E456/100</f>
        <v>0.462</v>
      </c>
      <c r="G456" s="38">
        <f>3*E456/100</f>
        <v>0.18</v>
      </c>
      <c r="H456" s="38">
        <f>49.8*E456/100</f>
        <v>2.9879999999999995</v>
      </c>
      <c r="I456" s="38">
        <f>262*E456/100</f>
        <v>15.72</v>
      </c>
      <c r="J456" s="38">
        <f>127*E456/100</f>
        <v>7.62</v>
      </c>
      <c r="K456" s="38">
        <f>26*E456/100</f>
        <v>1.56</v>
      </c>
      <c r="L456" s="38">
        <f>35*E456/100</f>
        <v>2.1</v>
      </c>
      <c r="M456" s="38">
        <f>83*E456/100</f>
        <v>4.98</v>
      </c>
      <c r="N456" s="38">
        <f>1.6*E456/100</f>
        <v>0.09600000000000002</v>
      </c>
      <c r="O456" s="38">
        <v>0</v>
      </c>
      <c r="P456" s="38">
        <v>0</v>
      </c>
      <c r="Q456" s="38">
        <v>0</v>
      </c>
      <c r="R456" s="38">
        <f>1.54*E456/100</f>
        <v>0.0924</v>
      </c>
      <c r="S456" s="38">
        <v>0</v>
      </c>
    </row>
    <row r="457" spans="1:19" ht="16.5" customHeight="1">
      <c r="A457" s="11"/>
      <c r="B457" s="18" t="s">
        <v>46</v>
      </c>
      <c r="C457" s="18"/>
      <c r="D457" s="15">
        <v>1</v>
      </c>
      <c r="E457" s="15">
        <v>1</v>
      </c>
      <c r="F457" s="15">
        <v>0</v>
      </c>
      <c r="G457" s="15">
        <v>0</v>
      </c>
      <c r="H457" s="17">
        <v>0</v>
      </c>
      <c r="I457" s="17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</row>
    <row r="458" spans="1:19" ht="16.5" customHeight="1">
      <c r="A458" s="19"/>
      <c r="B458" s="24" t="s">
        <v>76</v>
      </c>
      <c r="C458" s="24"/>
      <c r="D458" s="15">
        <v>6</v>
      </c>
      <c r="E458" s="15">
        <v>6</v>
      </c>
      <c r="F458" s="15">
        <f>72.5*D458/100</f>
        <v>4.35</v>
      </c>
      <c r="G458" s="15">
        <f>1.3*D458/100</f>
        <v>0.07800000000000001</v>
      </c>
      <c r="H458" s="15">
        <f>661*D458/100</f>
        <v>39.66</v>
      </c>
      <c r="I458" s="15">
        <f>23*D458/100</f>
        <v>1.38</v>
      </c>
      <c r="J458" s="17">
        <f>22*D458/100</f>
        <v>1.32</v>
      </c>
      <c r="K458" s="15">
        <f>3*D458/100</f>
        <v>0.18</v>
      </c>
      <c r="L458" s="17">
        <f>19*D458/100</f>
        <v>1.14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38">
        <v>0</v>
      </c>
    </row>
    <row r="459" spans="1:19" ht="16.5" customHeight="1">
      <c r="A459" s="11">
        <v>171</v>
      </c>
      <c r="B459" s="3" t="s">
        <v>161</v>
      </c>
      <c r="C459" s="3">
        <v>150</v>
      </c>
      <c r="D459" s="15"/>
      <c r="E459" s="15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1:19" ht="16.5" customHeight="1">
      <c r="A460" s="11"/>
      <c r="B460" s="37" t="s">
        <v>151</v>
      </c>
      <c r="C460" s="18"/>
      <c r="D460" s="21">
        <v>68</v>
      </c>
      <c r="E460" s="21">
        <v>68</v>
      </c>
      <c r="F460" s="21">
        <f>12.6*E460/100</f>
        <v>8.568</v>
      </c>
      <c r="G460" s="21">
        <f>3.3*E460/100</f>
        <v>2.2439999999999998</v>
      </c>
      <c r="H460" s="21">
        <f>62.1*E460/100</f>
        <v>42.228</v>
      </c>
      <c r="I460" s="21">
        <f>335*E460/100</f>
        <v>227.8</v>
      </c>
      <c r="J460" s="21">
        <f>167*E460/100</f>
        <v>113.56</v>
      </c>
      <c r="K460" s="21">
        <f>70*E460/100</f>
        <v>47.6</v>
      </c>
      <c r="L460" s="21">
        <f>98*E460/100</f>
        <v>66.64</v>
      </c>
      <c r="M460" s="21">
        <f>298*E460/100</f>
        <v>202.64</v>
      </c>
      <c r="N460" s="21">
        <f>8*E460/100</f>
        <v>5.44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</row>
    <row r="461" spans="1:19" ht="16.5" customHeight="1">
      <c r="A461" s="11"/>
      <c r="B461" s="24" t="s">
        <v>46</v>
      </c>
      <c r="C461" s="18"/>
      <c r="D461" s="15">
        <v>1.5</v>
      </c>
      <c r="E461" s="38">
        <v>1.5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</row>
    <row r="462" spans="1:19" ht="16.5" customHeight="1">
      <c r="A462" s="11"/>
      <c r="B462" s="24" t="s">
        <v>35</v>
      </c>
      <c r="C462" s="18"/>
      <c r="D462" s="15">
        <v>6</v>
      </c>
      <c r="E462" s="38">
        <v>6</v>
      </c>
      <c r="F462" s="15">
        <v>0</v>
      </c>
      <c r="G462" s="15">
        <f>72.5*E462/100</f>
        <v>4.35</v>
      </c>
      <c r="H462" s="15">
        <v>0</v>
      </c>
      <c r="I462" s="15">
        <f>661*E462/100</f>
        <v>39.66</v>
      </c>
      <c r="J462" s="15">
        <f>23*E462/100</f>
        <v>1.38</v>
      </c>
      <c r="K462" s="15">
        <f>22*E462/100</f>
        <v>1.32</v>
      </c>
      <c r="L462" s="15">
        <f>3*E462/100</f>
        <v>0.18</v>
      </c>
      <c r="M462" s="15">
        <f>19*E462/100</f>
        <v>1.14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</row>
    <row r="463" spans="1:19" ht="30" customHeight="1">
      <c r="A463" s="11" t="s">
        <v>74</v>
      </c>
      <c r="B463" s="5" t="s">
        <v>75</v>
      </c>
      <c r="C463" s="39">
        <v>200</v>
      </c>
      <c r="D463" s="23"/>
      <c r="E463" s="2"/>
      <c r="F463" s="3">
        <f aca="true" t="shared" si="47" ref="F463:S463">SUM(F464:F466)</f>
        <v>0.1</v>
      </c>
      <c r="G463" s="3">
        <f t="shared" si="47"/>
        <v>0</v>
      </c>
      <c r="H463" s="3">
        <f t="shared" si="47"/>
        <v>15</v>
      </c>
      <c r="I463" s="3">
        <f t="shared" si="47"/>
        <v>57.699999999999996</v>
      </c>
      <c r="J463" s="3">
        <f t="shared" si="47"/>
        <v>12.9</v>
      </c>
      <c r="K463" s="3">
        <f t="shared" si="47"/>
        <v>2.9</v>
      </c>
      <c r="L463" s="3">
        <f t="shared" si="47"/>
        <v>2.2</v>
      </c>
      <c r="M463" s="3">
        <f t="shared" si="47"/>
        <v>4.12</v>
      </c>
      <c r="N463" s="3">
        <f t="shared" si="47"/>
        <v>0.4</v>
      </c>
      <c r="O463" s="3">
        <f t="shared" si="47"/>
        <v>0</v>
      </c>
      <c r="P463" s="3">
        <f t="shared" si="47"/>
        <v>0</v>
      </c>
      <c r="Q463" s="3">
        <f t="shared" si="47"/>
        <v>0</v>
      </c>
      <c r="R463" s="32">
        <f t="shared" si="47"/>
        <v>0</v>
      </c>
      <c r="S463" s="3">
        <f t="shared" si="47"/>
        <v>0</v>
      </c>
    </row>
    <row r="464" spans="1:19" ht="16.5" customHeight="1">
      <c r="A464" s="11"/>
      <c r="B464" s="13" t="s">
        <v>38</v>
      </c>
      <c r="C464" s="23"/>
      <c r="D464" s="33">
        <v>50</v>
      </c>
      <c r="E464" s="33">
        <v>50</v>
      </c>
      <c r="F464" s="8">
        <v>0.1</v>
      </c>
      <c r="G464" s="8">
        <v>0</v>
      </c>
      <c r="H464" s="8">
        <v>0</v>
      </c>
      <c r="I464" s="8">
        <v>0.8</v>
      </c>
      <c r="J464" s="9">
        <v>12.4</v>
      </c>
      <c r="K464" s="8">
        <v>2.5</v>
      </c>
      <c r="L464" s="8">
        <v>2.2</v>
      </c>
      <c r="M464" s="9">
        <v>4.12</v>
      </c>
      <c r="N464" s="8">
        <v>0.4</v>
      </c>
      <c r="O464" s="8">
        <v>0</v>
      </c>
      <c r="P464" s="8">
        <v>0</v>
      </c>
      <c r="Q464" s="8">
        <v>0</v>
      </c>
      <c r="R464" s="34">
        <v>0</v>
      </c>
      <c r="S464" s="8">
        <v>0</v>
      </c>
    </row>
    <row r="465" spans="1:19" ht="16.5" customHeight="1">
      <c r="A465" s="11"/>
      <c r="B465" s="13" t="s">
        <v>28</v>
      </c>
      <c r="C465" s="23"/>
      <c r="D465" s="33">
        <v>15</v>
      </c>
      <c r="E465" s="33">
        <v>15</v>
      </c>
      <c r="F465" s="8">
        <v>0</v>
      </c>
      <c r="G465" s="8">
        <v>0</v>
      </c>
      <c r="H465" s="8">
        <v>15</v>
      </c>
      <c r="I465" s="8">
        <v>56.9</v>
      </c>
      <c r="J465" s="9">
        <v>0.5</v>
      </c>
      <c r="K465" s="8">
        <v>0.4</v>
      </c>
      <c r="L465" s="8">
        <v>0</v>
      </c>
      <c r="M465" s="9">
        <v>0</v>
      </c>
      <c r="N465" s="8">
        <v>0</v>
      </c>
      <c r="O465" s="8">
        <v>0</v>
      </c>
      <c r="P465" s="8">
        <v>0</v>
      </c>
      <c r="Q465" s="8">
        <v>0</v>
      </c>
      <c r="R465" s="34">
        <v>0</v>
      </c>
      <c r="S465" s="8">
        <v>0</v>
      </c>
    </row>
    <row r="466" spans="1:19" ht="16.5" customHeight="1">
      <c r="A466" s="11"/>
      <c r="B466" s="13" t="s">
        <v>33</v>
      </c>
      <c r="C466" s="23"/>
      <c r="D466" s="33">
        <v>150</v>
      </c>
      <c r="E466" s="33">
        <v>150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34">
        <v>0</v>
      </c>
      <c r="S466" s="8">
        <v>0</v>
      </c>
    </row>
    <row r="467" spans="1:19" ht="30" customHeight="1">
      <c r="A467" s="11" t="s">
        <v>23</v>
      </c>
      <c r="B467" s="5" t="s">
        <v>89</v>
      </c>
      <c r="C467" s="5">
        <v>20</v>
      </c>
      <c r="D467" s="8">
        <v>20</v>
      </c>
      <c r="E467" s="38">
        <v>20</v>
      </c>
      <c r="F467" s="3">
        <f>7.7*E467/100</f>
        <v>1.54</v>
      </c>
      <c r="G467" s="3">
        <v>5.4</v>
      </c>
      <c r="H467" s="3">
        <f>49.8*E467/100</f>
        <v>9.96</v>
      </c>
      <c r="I467" s="3">
        <f>262*E467/100</f>
        <v>52.4</v>
      </c>
      <c r="J467" s="3">
        <f>127*E467/100</f>
        <v>25.4</v>
      </c>
      <c r="K467" s="3">
        <f>26*E467/100</f>
        <v>5.2</v>
      </c>
      <c r="L467" s="3">
        <f>35*E467/100</f>
        <v>7</v>
      </c>
      <c r="M467" s="3">
        <f>83*E467/100</f>
        <v>16.6</v>
      </c>
      <c r="N467" s="3">
        <f>1.6*E467/100</f>
        <v>0.32</v>
      </c>
      <c r="O467" s="3">
        <v>0</v>
      </c>
      <c r="P467" s="3">
        <v>0</v>
      </c>
      <c r="Q467" s="3">
        <v>0</v>
      </c>
      <c r="R467" s="3">
        <f>1.54*E467/100</f>
        <v>0.308</v>
      </c>
      <c r="S467" s="3">
        <v>0</v>
      </c>
    </row>
    <row r="468" spans="1:19" ht="16.5" customHeight="1">
      <c r="A468" s="3" t="s">
        <v>138</v>
      </c>
      <c r="B468" s="5" t="s">
        <v>139</v>
      </c>
      <c r="C468" s="5">
        <v>20</v>
      </c>
      <c r="D468" s="23">
        <v>20</v>
      </c>
      <c r="E468" s="23">
        <v>20</v>
      </c>
      <c r="F468" s="3">
        <f>6.6*E468/100</f>
        <v>1.32</v>
      </c>
      <c r="G468" s="3">
        <f>1.2*E468/100</f>
        <v>0.24</v>
      </c>
      <c r="H468" s="3">
        <f>34.2*E468/100</f>
        <v>6.84</v>
      </c>
      <c r="I468" s="3">
        <f>181*E468/100</f>
        <v>36.2</v>
      </c>
      <c r="J468" s="3">
        <f>94*E468/100</f>
        <v>18.8</v>
      </c>
      <c r="K468" s="3">
        <f>34*E468/100</f>
        <v>6.8</v>
      </c>
      <c r="L468" s="3">
        <f>41*E468/100</f>
        <v>8.2</v>
      </c>
      <c r="M468" s="3">
        <f>120*E468/100</f>
        <v>24</v>
      </c>
      <c r="N468" s="3">
        <f>2.3*E468/100</f>
        <v>0.46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</row>
    <row r="469" spans="1:19" ht="16.5" customHeight="1">
      <c r="A469" s="3"/>
      <c r="B469" s="2" t="s">
        <v>65</v>
      </c>
      <c r="C469" s="5"/>
      <c r="D469" s="23"/>
      <c r="E469" s="2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6.5" customHeight="1">
      <c r="A470" s="3"/>
      <c r="B470" s="2" t="s">
        <v>205</v>
      </c>
      <c r="C470" s="2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1:19" ht="16.5" customHeight="1">
      <c r="A471" s="11">
        <v>181</v>
      </c>
      <c r="B471" s="3" t="s">
        <v>190</v>
      </c>
      <c r="C471" s="32">
        <v>210</v>
      </c>
      <c r="D471" s="6"/>
      <c r="E471" s="6"/>
      <c r="F471" s="3">
        <v>33.9</v>
      </c>
      <c r="G471" s="3">
        <v>36.6</v>
      </c>
      <c r="H471" s="3">
        <v>53</v>
      </c>
      <c r="I471" s="3">
        <v>671.6</v>
      </c>
      <c r="J471" s="3">
        <v>601.7</v>
      </c>
      <c r="K471" s="7">
        <v>73.52</v>
      </c>
      <c r="L471" s="3">
        <v>88.9</v>
      </c>
      <c r="M471" s="3">
        <v>663.2</v>
      </c>
      <c r="N471" s="3">
        <v>7.53</v>
      </c>
      <c r="O471" s="3">
        <v>2.01</v>
      </c>
      <c r="P471" s="3">
        <v>0.2</v>
      </c>
      <c r="Q471" s="3">
        <v>0.3</v>
      </c>
      <c r="R471" s="3">
        <v>8.29</v>
      </c>
      <c r="S471" s="3">
        <v>4.4</v>
      </c>
    </row>
    <row r="472" spans="1:19" ht="16.5" customHeight="1">
      <c r="A472" s="11"/>
      <c r="B472" s="37" t="s">
        <v>191</v>
      </c>
      <c r="C472" s="13"/>
      <c r="D472" s="33">
        <v>6</v>
      </c>
      <c r="E472" s="33">
        <v>6</v>
      </c>
      <c r="F472" s="8">
        <v>0</v>
      </c>
      <c r="G472" s="8">
        <v>14</v>
      </c>
      <c r="H472" s="8">
        <v>0</v>
      </c>
      <c r="I472" s="8">
        <v>126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</row>
    <row r="473" spans="1:19" ht="16.5" customHeight="1">
      <c r="A473" s="11"/>
      <c r="B473" s="38" t="s">
        <v>35</v>
      </c>
      <c r="C473" s="8"/>
      <c r="D473" s="33">
        <v>15</v>
      </c>
      <c r="E473" s="33">
        <v>12</v>
      </c>
      <c r="F473" s="8">
        <v>0.2</v>
      </c>
      <c r="G473" s="8">
        <v>0</v>
      </c>
      <c r="H473" s="8">
        <v>1.1</v>
      </c>
      <c r="I473" s="8">
        <v>5.6</v>
      </c>
      <c r="J473" s="8">
        <v>40</v>
      </c>
      <c r="K473" s="9">
        <v>10.2</v>
      </c>
      <c r="L473" s="8">
        <v>7.6</v>
      </c>
      <c r="M473" s="8">
        <v>11</v>
      </c>
      <c r="N473" s="8">
        <v>0.24</v>
      </c>
      <c r="O473" s="8">
        <v>1.8</v>
      </c>
      <c r="P473" s="8">
        <v>0.01</v>
      </c>
      <c r="Q473" s="8">
        <v>0.01</v>
      </c>
      <c r="R473" s="8">
        <v>0.2</v>
      </c>
      <c r="S473" s="8">
        <v>1</v>
      </c>
    </row>
    <row r="474" spans="1:19" ht="16.5" customHeight="1">
      <c r="A474" s="11"/>
      <c r="B474" s="38" t="s">
        <v>192</v>
      </c>
      <c r="C474" s="8"/>
      <c r="D474" s="33">
        <v>75</v>
      </c>
      <c r="E474" s="33">
        <v>75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9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</row>
    <row r="475" spans="1:19" ht="16.5" customHeight="1">
      <c r="A475" s="11"/>
      <c r="B475" s="38" t="s">
        <v>193</v>
      </c>
      <c r="C475" s="8"/>
      <c r="D475" s="33">
        <v>100</v>
      </c>
      <c r="E475" s="33">
        <v>100</v>
      </c>
      <c r="F475" s="8">
        <v>0.2</v>
      </c>
      <c r="G475" s="8">
        <v>0</v>
      </c>
      <c r="H475" s="8">
        <v>1.1</v>
      </c>
      <c r="I475" s="8">
        <v>5.7</v>
      </c>
      <c r="J475" s="8">
        <v>28</v>
      </c>
      <c r="K475" s="9">
        <v>5</v>
      </c>
      <c r="L475" s="8">
        <v>2.2</v>
      </c>
      <c r="M475" s="8">
        <v>9.3</v>
      </c>
      <c r="N475" s="8">
        <v>0.13</v>
      </c>
      <c r="O475" s="8">
        <v>0</v>
      </c>
      <c r="P475" s="8">
        <v>0</v>
      </c>
      <c r="Q475" s="8">
        <v>0</v>
      </c>
      <c r="R475" s="8">
        <v>0.03</v>
      </c>
      <c r="S475" s="8">
        <v>1.6</v>
      </c>
    </row>
    <row r="476" spans="1:19" ht="16.5" customHeight="1">
      <c r="A476" s="11"/>
      <c r="B476" s="38" t="s">
        <v>85</v>
      </c>
      <c r="C476" s="8"/>
      <c r="D476" s="33">
        <v>31</v>
      </c>
      <c r="E476" s="33">
        <v>31</v>
      </c>
      <c r="F476" s="8">
        <v>4.9</v>
      </c>
      <c r="G476" s="8">
        <v>0.7</v>
      </c>
      <c r="H476" s="8">
        <v>50</v>
      </c>
      <c r="I476" s="8">
        <v>231</v>
      </c>
      <c r="J476" s="8">
        <v>37.8</v>
      </c>
      <c r="K476" s="9">
        <v>16.8</v>
      </c>
      <c r="L476" s="8">
        <v>16.5</v>
      </c>
      <c r="M476" s="8">
        <v>68</v>
      </c>
      <c r="N476" s="8">
        <v>1.26</v>
      </c>
      <c r="O476" s="8">
        <v>0</v>
      </c>
      <c r="P476" s="8">
        <v>0.06</v>
      </c>
      <c r="Q476" s="8">
        <v>0.02</v>
      </c>
      <c r="R476" s="8">
        <v>1.12</v>
      </c>
      <c r="S476" s="8">
        <v>0</v>
      </c>
    </row>
    <row r="477" spans="1:19" ht="16.5" customHeight="1">
      <c r="A477" s="11"/>
      <c r="B477" s="8" t="s">
        <v>46</v>
      </c>
      <c r="C477" s="8"/>
      <c r="D477" s="33">
        <v>2</v>
      </c>
      <c r="E477" s="33">
        <v>2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</row>
    <row r="478" spans="1:19" ht="16.5" customHeight="1">
      <c r="A478" s="11" t="s">
        <v>23</v>
      </c>
      <c r="B478" s="3" t="s">
        <v>196</v>
      </c>
      <c r="C478" s="8">
        <v>30</v>
      </c>
      <c r="D478" s="33">
        <v>30</v>
      </c>
      <c r="E478" s="33">
        <v>30</v>
      </c>
      <c r="F478" s="8">
        <v>1.725</v>
      </c>
      <c r="G478" s="8">
        <v>1.77</v>
      </c>
      <c r="H478" s="8">
        <v>11.235</v>
      </c>
      <c r="I478" s="8">
        <v>62.58</v>
      </c>
      <c r="J478" s="8">
        <v>0</v>
      </c>
      <c r="K478" s="9">
        <v>3</v>
      </c>
      <c r="L478" s="8">
        <v>1.95</v>
      </c>
      <c r="M478" s="8">
        <v>0.15</v>
      </c>
      <c r="N478" s="8">
        <v>0</v>
      </c>
      <c r="O478" s="8">
        <v>0</v>
      </c>
      <c r="P478" s="8">
        <v>0</v>
      </c>
      <c r="Q478" s="8">
        <v>0</v>
      </c>
      <c r="R478" s="34">
        <v>0</v>
      </c>
      <c r="S478" s="8">
        <v>0</v>
      </c>
    </row>
    <row r="479" spans="1:19" ht="16.5" customHeight="1">
      <c r="A479" s="11" t="s">
        <v>74</v>
      </c>
      <c r="B479" s="5" t="s">
        <v>75</v>
      </c>
      <c r="C479" s="39">
        <v>200</v>
      </c>
      <c r="D479" s="23"/>
      <c r="E479" s="2"/>
      <c r="F479" s="3">
        <f aca="true" t="shared" si="48" ref="F479:S479">SUM(F480:F482)</f>
        <v>0.1</v>
      </c>
      <c r="G479" s="3">
        <f t="shared" si="48"/>
        <v>0</v>
      </c>
      <c r="H479" s="3">
        <f t="shared" si="48"/>
        <v>15</v>
      </c>
      <c r="I479" s="3">
        <f t="shared" si="48"/>
        <v>57.699999999999996</v>
      </c>
      <c r="J479" s="3">
        <f t="shared" si="48"/>
        <v>12.9</v>
      </c>
      <c r="K479" s="3">
        <f t="shared" si="48"/>
        <v>2.9</v>
      </c>
      <c r="L479" s="3">
        <f t="shared" si="48"/>
        <v>2.2</v>
      </c>
      <c r="M479" s="3">
        <f t="shared" si="48"/>
        <v>4.12</v>
      </c>
      <c r="N479" s="3">
        <f t="shared" si="48"/>
        <v>0.4</v>
      </c>
      <c r="O479" s="3">
        <f t="shared" si="48"/>
        <v>0</v>
      </c>
      <c r="P479" s="3">
        <f t="shared" si="48"/>
        <v>0</v>
      </c>
      <c r="Q479" s="3">
        <f t="shared" si="48"/>
        <v>0</v>
      </c>
      <c r="R479" s="32">
        <f t="shared" si="48"/>
        <v>0</v>
      </c>
      <c r="S479" s="3">
        <f t="shared" si="48"/>
        <v>0</v>
      </c>
    </row>
    <row r="480" spans="1:19" ht="16.5" customHeight="1">
      <c r="A480" s="11"/>
      <c r="B480" s="13" t="s">
        <v>38</v>
      </c>
      <c r="C480" s="23"/>
      <c r="D480" s="33">
        <v>50</v>
      </c>
      <c r="E480" s="33">
        <v>50</v>
      </c>
      <c r="F480" s="8">
        <v>0.1</v>
      </c>
      <c r="G480" s="8">
        <v>0</v>
      </c>
      <c r="H480" s="8">
        <v>0</v>
      </c>
      <c r="I480" s="8">
        <v>0.8</v>
      </c>
      <c r="J480" s="9">
        <v>12.4</v>
      </c>
      <c r="K480" s="8">
        <v>2.5</v>
      </c>
      <c r="L480" s="8">
        <v>2.2</v>
      </c>
      <c r="M480" s="9">
        <v>4.12</v>
      </c>
      <c r="N480" s="8">
        <v>0.4</v>
      </c>
      <c r="O480" s="8">
        <v>0</v>
      </c>
      <c r="P480" s="8">
        <v>0</v>
      </c>
      <c r="Q480" s="8">
        <v>0</v>
      </c>
      <c r="R480" s="34">
        <v>0</v>
      </c>
      <c r="S480" s="8">
        <v>0</v>
      </c>
    </row>
    <row r="481" spans="1:19" ht="16.5" customHeight="1">
      <c r="A481" s="11"/>
      <c r="B481" s="13" t="s">
        <v>28</v>
      </c>
      <c r="C481" s="23"/>
      <c r="D481" s="33">
        <v>15</v>
      </c>
      <c r="E481" s="33">
        <v>15</v>
      </c>
      <c r="F481" s="8">
        <v>0</v>
      </c>
      <c r="G481" s="8">
        <v>0</v>
      </c>
      <c r="H481" s="8">
        <v>15</v>
      </c>
      <c r="I481" s="8">
        <v>56.9</v>
      </c>
      <c r="J481" s="9">
        <v>0.5</v>
      </c>
      <c r="K481" s="8">
        <v>0.4</v>
      </c>
      <c r="L481" s="8">
        <v>0</v>
      </c>
      <c r="M481" s="9">
        <v>0</v>
      </c>
      <c r="N481" s="8">
        <v>0</v>
      </c>
      <c r="O481" s="8">
        <v>0</v>
      </c>
      <c r="P481" s="8">
        <v>0</v>
      </c>
      <c r="Q481" s="8">
        <v>0</v>
      </c>
      <c r="R481" s="34">
        <v>0</v>
      </c>
      <c r="S481" s="8">
        <v>0</v>
      </c>
    </row>
    <row r="482" spans="1:19" ht="16.5" customHeight="1">
      <c r="A482" s="11"/>
      <c r="B482" s="13" t="s">
        <v>33</v>
      </c>
      <c r="C482" s="23"/>
      <c r="D482" s="33">
        <v>150</v>
      </c>
      <c r="E482" s="33">
        <v>150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34">
        <v>0</v>
      </c>
      <c r="S482" s="8">
        <v>0</v>
      </c>
    </row>
    <row r="483" spans="1:19" ht="16.5" customHeight="1">
      <c r="A483" s="3"/>
      <c r="B483" s="2" t="s">
        <v>1</v>
      </c>
      <c r="C483" s="2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1:19" ht="16.5" customHeight="1">
      <c r="A484" s="11" t="s">
        <v>4</v>
      </c>
      <c r="B484" s="5" t="s">
        <v>5</v>
      </c>
      <c r="C484" s="5">
        <v>250</v>
      </c>
      <c r="D484" s="26"/>
      <c r="E484" s="6"/>
      <c r="F484" s="3">
        <v>4.39</v>
      </c>
      <c r="G484" s="3">
        <v>5.64</v>
      </c>
      <c r="H484" s="3">
        <v>20.61</v>
      </c>
      <c r="I484" s="3">
        <v>151.05</v>
      </c>
      <c r="J484" s="42">
        <v>475</v>
      </c>
      <c r="K484" s="3">
        <v>29</v>
      </c>
      <c r="L484" s="3">
        <v>35</v>
      </c>
      <c r="M484" s="7">
        <v>88</v>
      </c>
      <c r="N484" s="3">
        <v>2</v>
      </c>
      <c r="O484" s="3">
        <v>0</v>
      </c>
      <c r="P484" s="3">
        <v>0</v>
      </c>
      <c r="Q484" s="3">
        <v>0</v>
      </c>
      <c r="R484" s="3">
        <v>1</v>
      </c>
      <c r="S484" s="3">
        <v>12</v>
      </c>
    </row>
    <row r="485" spans="1:19" ht="16.5" customHeight="1">
      <c r="A485" s="11"/>
      <c r="B485" s="18" t="s">
        <v>29</v>
      </c>
      <c r="C485" s="18"/>
      <c r="D485" s="26">
        <v>67</v>
      </c>
      <c r="E485" s="30">
        <v>50</v>
      </c>
      <c r="F485" s="15">
        <v>1</v>
      </c>
      <c r="G485" s="15">
        <v>0.2</v>
      </c>
      <c r="H485" s="15">
        <v>8.65</v>
      </c>
      <c r="I485" s="15">
        <v>40</v>
      </c>
      <c r="J485" s="16">
        <v>284</v>
      </c>
      <c r="K485" s="15">
        <v>5</v>
      </c>
      <c r="L485" s="15">
        <v>11.15</v>
      </c>
      <c r="M485" s="17">
        <v>29</v>
      </c>
      <c r="N485" s="15">
        <v>0.45</v>
      </c>
      <c r="O485" s="15">
        <v>0</v>
      </c>
      <c r="P485" s="15">
        <v>0.06</v>
      </c>
      <c r="Q485" s="15">
        <v>0.035</v>
      </c>
      <c r="R485" s="15">
        <v>0.65</v>
      </c>
      <c r="S485" s="15">
        <v>10</v>
      </c>
    </row>
    <row r="486" spans="1:19" ht="16.5" customHeight="1">
      <c r="A486" s="11"/>
      <c r="B486" s="18" t="s">
        <v>45</v>
      </c>
      <c r="C486" s="18"/>
      <c r="D486" s="26">
        <v>20.3</v>
      </c>
      <c r="E486" s="30">
        <v>20.3</v>
      </c>
      <c r="F486" s="15">
        <v>3.09</v>
      </c>
      <c r="G486" s="15">
        <v>0.43</v>
      </c>
      <c r="H486" s="15">
        <v>10</v>
      </c>
      <c r="I486" s="15">
        <v>57.75</v>
      </c>
      <c r="J486" s="17">
        <v>148.4</v>
      </c>
      <c r="K486" s="15">
        <v>18</v>
      </c>
      <c r="L486" s="15">
        <v>17.9</v>
      </c>
      <c r="M486" s="17">
        <v>45.9</v>
      </c>
      <c r="N486" s="15">
        <v>1.42</v>
      </c>
      <c r="O486" s="15">
        <v>0</v>
      </c>
      <c r="P486" s="15">
        <v>0</v>
      </c>
      <c r="Q486" s="15">
        <v>0</v>
      </c>
      <c r="R486" s="15">
        <v>0.48</v>
      </c>
      <c r="S486" s="15">
        <v>0</v>
      </c>
    </row>
    <row r="487" spans="1:19" ht="16.5" customHeight="1">
      <c r="A487" s="11"/>
      <c r="B487" s="18" t="s">
        <v>31</v>
      </c>
      <c r="C487" s="18"/>
      <c r="D487" s="26">
        <v>12</v>
      </c>
      <c r="E487" s="30">
        <v>10</v>
      </c>
      <c r="F487" s="15">
        <v>0.14</v>
      </c>
      <c r="G487" s="15">
        <v>0</v>
      </c>
      <c r="H487" s="15">
        <v>0.91</v>
      </c>
      <c r="I487" s="15">
        <v>4.1</v>
      </c>
      <c r="J487" s="23">
        <v>17.5</v>
      </c>
      <c r="K487" s="23">
        <v>3.1</v>
      </c>
      <c r="L487" s="23">
        <v>1.4</v>
      </c>
      <c r="M487" s="23">
        <v>5.8</v>
      </c>
      <c r="N487" s="23">
        <v>0.08</v>
      </c>
      <c r="O487" s="23">
        <v>0</v>
      </c>
      <c r="P487" s="23">
        <v>0</v>
      </c>
      <c r="Q487" s="23">
        <v>0</v>
      </c>
      <c r="R487" s="23">
        <v>0</v>
      </c>
      <c r="S487" s="23">
        <v>1</v>
      </c>
    </row>
    <row r="488" spans="1:19" ht="12.75">
      <c r="A488" s="11"/>
      <c r="B488" s="18" t="s">
        <v>30</v>
      </c>
      <c r="C488" s="18"/>
      <c r="D488" s="26">
        <v>15.8</v>
      </c>
      <c r="E488" s="30">
        <v>12.5</v>
      </c>
      <c r="F488" s="15">
        <v>0.16</v>
      </c>
      <c r="G488" s="15">
        <v>0.01</v>
      </c>
      <c r="H488" s="15">
        <v>1.05</v>
      </c>
      <c r="I488" s="15">
        <v>4.25</v>
      </c>
      <c r="J488" s="16">
        <v>25</v>
      </c>
      <c r="K488" s="15">
        <v>3.37</v>
      </c>
      <c r="L488" s="15">
        <v>4.75</v>
      </c>
      <c r="M488" s="17">
        <v>6.9</v>
      </c>
      <c r="N488" s="15">
        <v>0.08</v>
      </c>
      <c r="O488" s="15">
        <v>0</v>
      </c>
      <c r="P488" s="15">
        <v>0</v>
      </c>
      <c r="Q488" s="15">
        <v>0</v>
      </c>
      <c r="R488" s="15">
        <v>0.13</v>
      </c>
      <c r="S488" s="15">
        <v>1.25</v>
      </c>
    </row>
    <row r="489" spans="1:19" ht="12.75">
      <c r="A489" s="11"/>
      <c r="B489" s="18" t="s">
        <v>32</v>
      </c>
      <c r="C489" s="18"/>
      <c r="D489" s="26">
        <v>5</v>
      </c>
      <c r="E489" s="30">
        <v>5</v>
      </c>
      <c r="F489" s="15">
        <v>0</v>
      </c>
      <c r="G489" s="15">
        <v>5</v>
      </c>
      <c r="H489" s="15">
        <v>0</v>
      </c>
      <c r="I489" s="15">
        <v>44.95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</row>
    <row r="490" spans="1:19" ht="12.75">
      <c r="A490" s="11"/>
      <c r="B490" s="18" t="s">
        <v>46</v>
      </c>
      <c r="C490" s="18"/>
      <c r="D490" s="26">
        <v>2.5</v>
      </c>
      <c r="E490" s="30">
        <v>2.5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</row>
    <row r="491" spans="1:19" ht="12.75">
      <c r="A491" s="11"/>
      <c r="B491" s="18" t="s">
        <v>33</v>
      </c>
      <c r="C491" s="18"/>
      <c r="D491" s="26">
        <v>175</v>
      </c>
      <c r="E491" s="30">
        <v>175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</row>
    <row r="492" spans="1:19" ht="12.75">
      <c r="A492" s="3"/>
      <c r="B492" s="14" t="s">
        <v>48</v>
      </c>
      <c r="C492" s="1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1:19" ht="12.75">
      <c r="A493" s="11" t="s">
        <v>136</v>
      </c>
      <c r="B493" s="20" t="s">
        <v>171</v>
      </c>
      <c r="C493" s="50">
        <v>60</v>
      </c>
      <c r="D493" s="21"/>
      <c r="E493" s="22"/>
      <c r="F493" s="22">
        <f>F494+F495+F496+F497+F498</f>
        <v>14.381999999999998</v>
      </c>
      <c r="G493" s="22">
        <f aca="true" t="shared" si="49" ref="G493:S493">G494+G495+G496+G497+G498</f>
        <v>1.3944</v>
      </c>
      <c r="H493" s="22">
        <f t="shared" si="49"/>
        <v>32.34</v>
      </c>
      <c r="I493" s="22">
        <f t="shared" si="49"/>
        <v>95.016</v>
      </c>
      <c r="J493" s="22">
        <f t="shared" si="49"/>
        <v>151.776</v>
      </c>
      <c r="K493" s="22">
        <f t="shared" si="49"/>
        <v>8.028</v>
      </c>
      <c r="L493" s="22">
        <f t="shared" si="49"/>
        <v>44.748</v>
      </c>
      <c r="M493" s="22">
        <f t="shared" si="49"/>
        <v>89.868</v>
      </c>
      <c r="N493" s="22">
        <f t="shared" si="49"/>
        <v>0.8904</v>
      </c>
      <c r="O493" s="22">
        <f t="shared" si="49"/>
        <v>31.08</v>
      </c>
      <c r="P493" s="22">
        <f t="shared" si="49"/>
        <v>0.03108</v>
      </c>
      <c r="Q493" s="22">
        <f t="shared" si="49"/>
        <v>0.03108</v>
      </c>
      <c r="R493" s="22">
        <f t="shared" si="49"/>
        <v>5.009519999999998</v>
      </c>
      <c r="S493" s="22">
        <f t="shared" si="49"/>
        <v>0.7992</v>
      </c>
    </row>
    <row r="494" spans="1:19" ht="12.75">
      <c r="A494" s="11"/>
      <c r="B494" s="41" t="s">
        <v>172</v>
      </c>
      <c r="C494" s="41"/>
      <c r="D494" s="21">
        <v>44.4</v>
      </c>
      <c r="E494" s="21">
        <v>44.4</v>
      </c>
      <c r="F494" s="21">
        <f>23.6*E494/100</f>
        <v>10.478399999999999</v>
      </c>
      <c r="G494" s="21">
        <f>1.9*E494/100</f>
        <v>0.8436</v>
      </c>
      <c r="H494" s="21">
        <f>0.4*E494/100</f>
        <v>0.1776</v>
      </c>
      <c r="I494" s="21">
        <f>113*E494/100</f>
        <v>50.172</v>
      </c>
      <c r="J494" s="21">
        <f>292*E494/100</f>
        <v>129.648</v>
      </c>
      <c r="K494" s="21">
        <f>8*E494/100</f>
        <v>3.552</v>
      </c>
      <c r="L494" s="21">
        <f>86*E494/100</f>
        <v>38.184</v>
      </c>
      <c r="M494" s="21">
        <f>171*E494/100</f>
        <v>75.92399999999999</v>
      </c>
      <c r="N494" s="21">
        <f>1.4*E494/100</f>
        <v>0.6215999999999999</v>
      </c>
      <c r="O494" s="21">
        <f>70*E494/100</f>
        <v>31.08</v>
      </c>
      <c r="P494" s="21">
        <f>0.07*E494/100</f>
        <v>0.03108</v>
      </c>
      <c r="Q494" s="21">
        <f>0.07*E494/100</f>
        <v>0.03108</v>
      </c>
      <c r="R494" s="21">
        <f>10.7*E494/100</f>
        <v>4.750799999999999</v>
      </c>
      <c r="S494" s="21">
        <f>1.8*E494/100</f>
        <v>0.7992</v>
      </c>
    </row>
    <row r="495" spans="1:19" ht="12.75">
      <c r="A495" s="11"/>
      <c r="B495" s="41" t="s">
        <v>68</v>
      </c>
      <c r="C495" s="41"/>
      <c r="D495" s="21">
        <v>10.8</v>
      </c>
      <c r="E495" s="21">
        <v>10.8</v>
      </c>
      <c r="F495" s="38">
        <f>7.7*E495/100</f>
        <v>0.8316000000000001</v>
      </c>
      <c r="G495" s="38">
        <f>3*E495/100</f>
        <v>0.32400000000000007</v>
      </c>
      <c r="H495" s="38">
        <f>49.8*E495/100</f>
        <v>5.3784</v>
      </c>
      <c r="I495" s="38">
        <f>262*E495/100</f>
        <v>28.296000000000003</v>
      </c>
      <c r="J495" s="38">
        <f>127*E495/100</f>
        <v>13.716000000000001</v>
      </c>
      <c r="K495" s="38">
        <f>26*E495/100</f>
        <v>2.8080000000000003</v>
      </c>
      <c r="L495" s="38">
        <f>35*E495/100</f>
        <v>3.78</v>
      </c>
      <c r="M495" s="38">
        <f>83*E495/100</f>
        <v>8.964</v>
      </c>
      <c r="N495" s="38">
        <f>1.6*E495/100</f>
        <v>0.1728</v>
      </c>
      <c r="O495" s="38">
        <v>0</v>
      </c>
      <c r="P495" s="38">
        <v>0</v>
      </c>
      <c r="Q495" s="38">
        <v>0</v>
      </c>
      <c r="R495" s="38">
        <f>1.54*E495/100</f>
        <v>0.16632000000000002</v>
      </c>
      <c r="S495" s="38">
        <v>0</v>
      </c>
    </row>
    <row r="496" spans="1:19" ht="12.75">
      <c r="A496" s="11"/>
      <c r="B496" s="41" t="s">
        <v>33</v>
      </c>
      <c r="C496" s="41"/>
      <c r="D496" s="21">
        <v>14.4</v>
      </c>
      <c r="E496" s="21">
        <v>14.4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</row>
    <row r="497" spans="1:19" ht="12.75">
      <c r="A497" s="19"/>
      <c r="B497" s="48" t="s">
        <v>81</v>
      </c>
      <c r="C497" s="48"/>
      <c r="D497" s="49">
        <v>6</v>
      </c>
      <c r="E497" s="28">
        <v>6</v>
      </c>
      <c r="F497" s="38">
        <f>7.7*E497/100</f>
        <v>0.462</v>
      </c>
      <c r="G497" s="38">
        <f>3*E497/100</f>
        <v>0.18</v>
      </c>
      <c r="H497" s="38">
        <f>49.8*E497/100</f>
        <v>2.9879999999999995</v>
      </c>
      <c r="I497" s="38">
        <f>262*E497/100</f>
        <v>15.72</v>
      </c>
      <c r="J497" s="38">
        <f>127*E497/100</f>
        <v>7.62</v>
      </c>
      <c r="K497" s="38">
        <f>26*E497/100</f>
        <v>1.56</v>
      </c>
      <c r="L497" s="38">
        <f>35*E497/100</f>
        <v>2.1</v>
      </c>
      <c r="M497" s="38">
        <f>83*E497/100</f>
        <v>4.98</v>
      </c>
      <c r="N497" s="38">
        <f>1.6*E497/100</f>
        <v>0.09600000000000002</v>
      </c>
      <c r="O497" s="38">
        <v>0</v>
      </c>
      <c r="P497" s="38">
        <v>0</v>
      </c>
      <c r="Q497" s="38">
        <v>0</v>
      </c>
      <c r="R497" s="38">
        <f>1.54*E497/100</f>
        <v>0.0924</v>
      </c>
      <c r="S497" s="38">
        <v>0</v>
      </c>
    </row>
    <row r="498" spans="1:19" ht="12.75">
      <c r="A498" s="19"/>
      <c r="B498" s="24" t="s">
        <v>76</v>
      </c>
      <c r="C498" s="24"/>
      <c r="D498" s="15">
        <v>3.6</v>
      </c>
      <c r="E498" s="15">
        <v>3.6</v>
      </c>
      <c r="F498" s="15">
        <f>72.5*D498/100</f>
        <v>2.61</v>
      </c>
      <c r="G498" s="15">
        <f>1.3*D498/100</f>
        <v>0.04680000000000001</v>
      </c>
      <c r="H498" s="15">
        <f>661*D498/100</f>
        <v>23.796</v>
      </c>
      <c r="I498" s="15">
        <f>23*D498/100</f>
        <v>0.828</v>
      </c>
      <c r="J498" s="17">
        <f>22*D498/100</f>
        <v>0.792</v>
      </c>
      <c r="K498" s="15">
        <f>3*D498/100</f>
        <v>0.10800000000000001</v>
      </c>
      <c r="L498" s="17">
        <f>19*D498/100</f>
        <v>0.684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38">
        <v>0</v>
      </c>
    </row>
    <row r="499" spans="1:19" ht="12.75">
      <c r="A499" s="19"/>
      <c r="B499" s="24" t="s">
        <v>46</v>
      </c>
      <c r="C499" s="14"/>
      <c r="D499" s="15">
        <v>1.5</v>
      </c>
      <c r="E499" s="15">
        <v>1.5</v>
      </c>
      <c r="F499" s="15">
        <v>0</v>
      </c>
      <c r="G499" s="15">
        <v>0</v>
      </c>
      <c r="H499" s="15">
        <v>0</v>
      </c>
      <c r="I499" s="15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</row>
    <row r="500" spans="1:19" ht="12.75">
      <c r="A500" s="11" t="s">
        <v>71</v>
      </c>
      <c r="B500" s="5" t="s">
        <v>72</v>
      </c>
      <c r="C500" s="5">
        <v>150</v>
      </c>
      <c r="D500" s="15"/>
      <c r="E500" s="3"/>
      <c r="F500" s="3">
        <f>F501+F502+F503</f>
        <v>8.928999999999998</v>
      </c>
      <c r="G500" s="3">
        <f aca="true" t="shared" si="50" ref="G500:S500">G501+G502+G503</f>
        <v>0.6260000000000001</v>
      </c>
      <c r="H500" s="3">
        <f t="shared" si="50"/>
        <v>68.59700000000001</v>
      </c>
      <c r="I500" s="3">
        <f t="shared" si="50"/>
        <v>173.02</v>
      </c>
      <c r="J500" s="3">
        <f t="shared" si="50"/>
        <v>64.34</v>
      </c>
      <c r="K500" s="3">
        <f t="shared" si="50"/>
        <v>9.33</v>
      </c>
      <c r="L500" s="3">
        <f t="shared" si="50"/>
        <v>9.11</v>
      </c>
      <c r="M500" s="3">
        <f t="shared" si="50"/>
        <v>44.37</v>
      </c>
      <c r="N500" s="3">
        <f t="shared" si="50"/>
        <v>0.612</v>
      </c>
      <c r="O500" s="3">
        <f t="shared" si="50"/>
        <v>0</v>
      </c>
      <c r="P500" s="3">
        <f t="shared" si="50"/>
        <v>0</v>
      </c>
      <c r="Q500" s="3">
        <f t="shared" si="50"/>
        <v>0</v>
      </c>
      <c r="R500" s="3">
        <f t="shared" si="50"/>
        <v>0</v>
      </c>
      <c r="S500" s="3">
        <f t="shared" si="50"/>
        <v>0</v>
      </c>
    </row>
    <row r="501" spans="1:19" ht="12.75">
      <c r="A501" s="11"/>
      <c r="B501" s="18" t="s">
        <v>73</v>
      </c>
      <c r="C501" s="18"/>
      <c r="D501" s="15">
        <v>51</v>
      </c>
      <c r="E501" s="15">
        <v>51</v>
      </c>
      <c r="F501" s="15">
        <f>10.4*E501/100</f>
        <v>5.303999999999999</v>
      </c>
      <c r="G501" s="15">
        <f>1.1*E501/100</f>
        <v>0.561</v>
      </c>
      <c r="H501" s="15">
        <f>69.7*E501/100</f>
        <v>35.547000000000004</v>
      </c>
      <c r="I501" s="15">
        <f>337*E501/100</f>
        <v>171.87</v>
      </c>
      <c r="J501" s="17">
        <f>124*E501/100</f>
        <v>63.24</v>
      </c>
      <c r="K501" s="15">
        <f>18*E501/100</f>
        <v>9.18</v>
      </c>
      <c r="L501" s="15">
        <f>16*E501/100</f>
        <v>8.16</v>
      </c>
      <c r="M501" s="15">
        <f>87*E501/100</f>
        <v>44.37</v>
      </c>
      <c r="N501" s="15">
        <f>1.2*E501/100</f>
        <v>0.612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</row>
    <row r="502" spans="1:19" ht="12.75">
      <c r="A502" s="11"/>
      <c r="B502" s="18" t="s">
        <v>46</v>
      </c>
      <c r="C502" s="18"/>
      <c r="D502" s="15">
        <v>1</v>
      </c>
      <c r="E502" s="15">
        <v>1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</row>
    <row r="503" spans="1:19" ht="12.75">
      <c r="A503" s="11"/>
      <c r="B503" s="18" t="s">
        <v>35</v>
      </c>
      <c r="C503" s="18"/>
      <c r="D503" s="15">
        <v>5</v>
      </c>
      <c r="E503" s="15">
        <v>5</v>
      </c>
      <c r="F503" s="15">
        <f>72.5*D503/100</f>
        <v>3.625</v>
      </c>
      <c r="G503" s="15">
        <f>1.3*D503/100</f>
        <v>0.065</v>
      </c>
      <c r="H503" s="15">
        <f>661*D503/100</f>
        <v>33.05</v>
      </c>
      <c r="I503" s="15">
        <f>23*D503/100</f>
        <v>1.15</v>
      </c>
      <c r="J503" s="17">
        <f>22*D503/100</f>
        <v>1.1</v>
      </c>
      <c r="K503" s="15">
        <f>3*D503/100</f>
        <v>0.15</v>
      </c>
      <c r="L503" s="17">
        <f>19*D503/100</f>
        <v>0.95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38">
        <v>0</v>
      </c>
    </row>
    <row r="504" spans="1:19" ht="12.75">
      <c r="A504" s="11" t="s">
        <v>74</v>
      </c>
      <c r="B504" s="5" t="s">
        <v>75</v>
      </c>
      <c r="C504" s="39">
        <v>200</v>
      </c>
      <c r="D504" s="23"/>
      <c r="E504" s="2"/>
      <c r="F504" s="3">
        <f aca="true" t="shared" si="51" ref="F504:S504">SUM(F505:F507)</f>
        <v>0.1</v>
      </c>
      <c r="G504" s="3">
        <f t="shared" si="51"/>
        <v>0</v>
      </c>
      <c r="H504" s="3">
        <f t="shared" si="51"/>
        <v>15</v>
      </c>
      <c r="I504" s="3">
        <f t="shared" si="51"/>
        <v>57.699999999999996</v>
      </c>
      <c r="J504" s="3">
        <f t="shared" si="51"/>
        <v>12.9</v>
      </c>
      <c r="K504" s="3">
        <f t="shared" si="51"/>
        <v>2.9</v>
      </c>
      <c r="L504" s="3">
        <f t="shared" si="51"/>
        <v>2.2</v>
      </c>
      <c r="M504" s="3">
        <f t="shared" si="51"/>
        <v>4.12</v>
      </c>
      <c r="N504" s="3">
        <f t="shared" si="51"/>
        <v>0.4</v>
      </c>
      <c r="O504" s="3">
        <f t="shared" si="51"/>
        <v>0</v>
      </c>
      <c r="P504" s="3">
        <f t="shared" si="51"/>
        <v>0</v>
      </c>
      <c r="Q504" s="3">
        <f t="shared" si="51"/>
        <v>0</v>
      </c>
      <c r="R504" s="32">
        <f t="shared" si="51"/>
        <v>0</v>
      </c>
      <c r="S504" s="3">
        <f t="shared" si="51"/>
        <v>0</v>
      </c>
    </row>
    <row r="505" spans="1:19" ht="12.75">
      <c r="A505" s="11"/>
      <c r="B505" s="13" t="s">
        <v>38</v>
      </c>
      <c r="C505" s="23"/>
      <c r="D505" s="33">
        <v>50</v>
      </c>
      <c r="E505" s="33">
        <v>50</v>
      </c>
      <c r="F505" s="8">
        <v>0.1</v>
      </c>
      <c r="G505" s="8">
        <v>0</v>
      </c>
      <c r="H505" s="8">
        <v>0</v>
      </c>
      <c r="I505" s="8">
        <v>0.8</v>
      </c>
      <c r="J505" s="9">
        <v>12.4</v>
      </c>
      <c r="K505" s="8">
        <v>2.5</v>
      </c>
      <c r="L505" s="8">
        <v>2.2</v>
      </c>
      <c r="M505" s="9">
        <v>4.12</v>
      </c>
      <c r="N505" s="8">
        <v>0.4</v>
      </c>
      <c r="O505" s="8">
        <v>0</v>
      </c>
      <c r="P505" s="8">
        <v>0</v>
      </c>
      <c r="Q505" s="8">
        <v>0</v>
      </c>
      <c r="R505" s="34">
        <v>0</v>
      </c>
      <c r="S505" s="8">
        <v>0</v>
      </c>
    </row>
    <row r="506" spans="1:19" ht="12.75">
      <c r="A506" s="11"/>
      <c r="B506" s="13" t="s">
        <v>28</v>
      </c>
      <c r="C506" s="23"/>
      <c r="D506" s="33">
        <v>15</v>
      </c>
      <c r="E506" s="33">
        <v>15</v>
      </c>
      <c r="F506" s="8">
        <v>0</v>
      </c>
      <c r="G506" s="8">
        <v>0</v>
      </c>
      <c r="H506" s="8">
        <v>15</v>
      </c>
      <c r="I506" s="8">
        <v>56.9</v>
      </c>
      <c r="J506" s="9">
        <v>0.5</v>
      </c>
      <c r="K506" s="8">
        <v>0.4</v>
      </c>
      <c r="L506" s="8">
        <v>0</v>
      </c>
      <c r="M506" s="9">
        <v>0</v>
      </c>
      <c r="N506" s="8">
        <v>0</v>
      </c>
      <c r="O506" s="8">
        <v>0</v>
      </c>
      <c r="P506" s="8">
        <v>0</v>
      </c>
      <c r="Q506" s="8">
        <v>0</v>
      </c>
      <c r="R506" s="34">
        <v>0</v>
      </c>
      <c r="S506" s="8">
        <v>0</v>
      </c>
    </row>
    <row r="507" spans="1:19" ht="12.75">
      <c r="A507" s="11"/>
      <c r="B507" s="13" t="s">
        <v>33</v>
      </c>
      <c r="C507" s="23"/>
      <c r="D507" s="33">
        <v>150</v>
      </c>
      <c r="E507" s="33">
        <v>150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34">
        <v>0</v>
      </c>
      <c r="S507" s="8">
        <v>0</v>
      </c>
    </row>
    <row r="508" spans="1:19" ht="12.75">
      <c r="A508" s="11" t="s">
        <v>23</v>
      </c>
      <c r="B508" s="5" t="s">
        <v>89</v>
      </c>
      <c r="C508" s="5">
        <v>20</v>
      </c>
      <c r="D508" s="8">
        <v>20</v>
      </c>
      <c r="E508" s="38">
        <v>20</v>
      </c>
      <c r="F508" s="3">
        <f>7.7*E508/100</f>
        <v>1.54</v>
      </c>
      <c r="G508" s="3">
        <v>5.4</v>
      </c>
      <c r="H508" s="3">
        <f>49.8*E508/100</f>
        <v>9.96</v>
      </c>
      <c r="I508" s="3">
        <f>262*E508/100</f>
        <v>52.4</v>
      </c>
      <c r="J508" s="3">
        <f>127*E508/100</f>
        <v>25.4</v>
      </c>
      <c r="K508" s="3">
        <f>26*E508/100</f>
        <v>5.2</v>
      </c>
      <c r="L508" s="3">
        <f>35*E508/100</f>
        <v>7</v>
      </c>
      <c r="M508" s="3">
        <f>83*E508/100</f>
        <v>16.6</v>
      </c>
      <c r="N508" s="3">
        <f>1.6*E508/100</f>
        <v>0.32</v>
      </c>
      <c r="O508" s="3">
        <v>0</v>
      </c>
      <c r="P508" s="3">
        <v>0</v>
      </c>
      <c r="Q508" s="3">
        <v>0</v>
      </c>
      <c r="R508" s="3">
        <f>1.54*E508/100</f>
        <v>0.308</v>
      </c>
      <c r="S508" s="3">
        <v>0</v>
      </c>
    </row>
    <row r="509" spans="1:19" ht="12.75">
      <c r="A509" s="3" t="s">
        <v>138</v>
      </c>
      <c r="B509" s="5" t="s">
        <v>139</v>
      </c>
      <c r="C509" s="5">
        <v>20</v>
      </c>
      <c r="D509" s="23">
        <v>20</v>
      </c>
      <c r="E509" s="23">
        <v>20</v>
      </c>
      <c r="F509" s="3">
        <f>6.6*E509/100</f>
        <v>1.32</v>
      </c>
      <c r="G509" s="3">
        <f>1.2*E509/100</f>
        <v>0.24</v>
      </c>
      <c r="H509" s="3">
        <f>34.2*E509/100</f>
        <v>6.84</v>
      </c>
      <c r="I509" s="3">
        <f>181*E509/100</f>
        <v>36.2</v>
      </c>
      <c r="J509" s="3">
        <f>94*E509/100</f>
        <v>18.8</v>
      </c>
      <c r="K509" s="3">
        <f>34*E509/100</f>
        <v>6.8</v>
      </c>
      <c r="L509" s="3">
        <f>41*E509/100</f>
        <v>8.2</v>
      </c>
      <c r="M509" s="3">
        <f>120*E509/100</f>
        <v>24</v>
      </c>
      <c r="N509" s="3">
        <f>2.3*E509/100</f>
        <v>0.46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</row>
    <row r="510" spans="1:19" ht="12.75">
      <c r="A510" s="47"/>
      <c r="B510" s="2" t="s">
        <v>162</v>
      </c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>
      <c r="A511" s="11" t="s">
        <v>136</v>
      </c>
      <c r="B511" s="20" t="s">
        <v>171</v>
      </c>
      <c r="C511" s="50">
        <v>60</v>
      </c>
      <c r="D511" s="21"/>
      <c r="E511" s="22"/>
      <c r="F511" s="22">
        <f>F512+F513+F514+F515+F516</f>
        <v>14.381999999999998</v>
      </c>
      <c r="G511" s="22">
        <f aca="true" t="shared" si="52" ref="G511:S511">G512+G513+G514+G515+G516</f>
        <v>1.3944</v>
      </c>
      <c r="H511" s="22">
        <f t="shared" si="52"/>
        <v>32.34</v>
      </c>
      <c r="I511" s="22">
        <f t="shared" si="52"/>
        <v>95.016</v>
      </c>
      <c r="J511" s="22">
        <f t="shared" si="52"/>
        <v>151.776</v>
      </c>
      <c r="K511" s="22">
        <f t="shared" si="52"/>
        <v>8.028</v>
      </c>
      <c r="L511" s="22">
        <f t="shared" si="52"/>
        <v>44.748</v>
      </c>
      <c r="M511" s="22">
        <f t="shared" si="52"/>
        <v>89.868</v>
      </c>
      <c r="N511" s="22">
        <f t="shared" si="52"/>
        <v>0.8904</v>
      </c>
      <c r="O511" s="22">
        <f t="shared" si="52"/>
        <v>31.08</v>
      </c>
      <c r="P511" s="22">
        <f t="shared" si="52"/>
        <v>0.03108</v>
      </c>
      <c r="Q511" s="22">
        <f t="shared" si="52"/>
        <v>0.03108</v>
      </c>
      <c r="R511" s="22">
        <f t="shared" si="52"/>
        <v>5.009519999999998</v>
      </c>
      <c r="S511" s="22">
        <f t="shared" si="52"/>
        <v>0.7992</v>
      </c>
    </row>
    <row r="512" spans="1:19" ht="12.75">
      <c r="A512" s="11"/>
      <c r="B512" s="41" t="s">
        <v>172</v>
      </c>
      <c r="C512" s="41"/>
      <c r="D512" s="21">
        <v>44.4</v>
      </c>
      <c r="E512" s="21">
        <v>44.4</v>
      </c>
      <c r="F512" s="21">
        <f>23.6*E512/100</f>
        <v>10.478399999999999</v>
      </c>
      <c r="G512" s="21">
        <f>1.9*E512/100</f>
        <v>0.8436</v>
      </c>
      <c r="H512" s="21">
        <f>0.4*E512/100</f>
        <v>0.1776</v>
      </c>
      <c r="I512" s="21">
        <f>113*E512/100</f>
        <v>50.172</v>
      </c>
      <c r="J512" s="21">
        <f>292*E512/100</f>
        <v>129.648</v>
      </c>
      <c r="K512" s="21">
        <f>8*E512/100</f>
        <v>3.552</v>
      </c>
      <c r="L512" s="21">
        <f>86*E512/100</f>
        <v>38.184</v>
      </c>
      <c r="M512" s="21">
        <f>171*E512/100</f>
        <v>75.92399999999999</v>
      </c>
      <c r="N512" s="21">
        <f>1.4*E512/100</f>
        <v>0.6215999999999999</v>
      </c>
      <c r="O512" s="21">
        <f>70*E512/100</f>
        <v>31.08</v>
      </c>
      <c r="P512" s="21">
        <f>0.07*E512/100</f>
        <v>0.03108</v>
      </c>
      <c r="Q512" s="21">
        <f>0.07*E512/100</f>
        <v>0.03108</v>
      </c>
      <c r="R512" s="21">
        <f>10.7*E512/100</f>
        <v>4.750799999999999</v>
      </c>
      <c r="S512" s="21">
        <f>1.8*E512/100</f>
        <v>0.7992</v>
      </c>
    </row>
    <row r="513" spans="1:19" ht="12.75">
      <c r="A513" s="11"/>
      <c r="B513" s="41" t="s">
        <v>68</v>
      </c>
      <c r="C513" s="41"/>
      <c r="D513" s="21">
        <v>10.8</v>
      </c>
      <c r="E513" s="21">
        <v>10.8</v>
      </c>
      <c r="F513" s="38">
        <f>7.7*E513/100</f>
        <v>0.8316000000000001</v>
      </c>
      <c r="G513" s="38">
        <f>3*E513/100</f>
        <v>0.32400000000000007</v>
      </c>
      <c r="H513" s="38">
        <f>49.8*E513/100</f>
        <v>5.3784</v>
      </c>
      <c r="I513" s="38">
        <f>262*E513/100</f>
        <v>28.296000000000003</v>
      </c>
      <c r="J513" s="38">
        <f>127*E513/100</f>
        <v>13.716000000000001</v>
      </c>
      <c r="K513" s="38">
        <f>26*E513/100</f>
        <v>2.8080000000000003</v>
      </c>
      <c r="L513" s="38">
        <f>35*E513/100</f>
        <v>3.78</v>
      </c>
      <c r="M513" s="38">
        <f>83*E513/100</f>
        <v>8.964</v>
      </c>
      <c r="N513" s="38">
        <f>1.6*E513/100</f>
        <v>0.1728</v>
      </c>
      <c r="O513" s="38">
        <v>0</v>
      </c>
      <c r="P513" s="38">
        <v>0</v>
      </c>
      <c r="Q513" s="38">
        <v>0</v>
      </c>
      <c r="R513" s="38">
        <f>1.54*E513/100</f>
        <v>0.16632000000000002</v>
      </c>
      <c r="S513" s="38">
        <v>0</v>
      </c>
    </row>
    <row r="514" spans="1:19" ht="12.75">
      <c r="A514" s="11"/>
      <c r="B514" s="41" t="s">
        <v>33</v>
      </c>
      <c r="C514" s="41"/>
      <c r="D514" s="21">
        <v>14.4</v>
      </c>
      <c r="E514" s="21">
        <v>14.4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</row>
    <row r="515" spans="1:19" ht="12.75">
      <c r="A515" s="19"/>
      <c r="B515" s="48" t="s">
        <v>81</v>
      </c>
      <c r="C515" s="48"/>
      <c r="D515" s="49">
        <v>6</v>
      </c>
      <c r="E515" s="28">
        <v>6</v>
      </c>
      <c r="F515" s="38">
        <f>7.7*E515/100</f>
        <v>0.462</v>
      </c>
      <c r="G515" s="38">
        <f>3*E515/100</f>
        <v>0.18</v>
      </c>
      <c r="H515" s="38">
        <f>49.8*E515/100</f>
        <v>2.9879999999999995</v>
      </c>
      <c r="I515" s="38">
        <f>262*E515/100</f>
        <v>15.72</v>
      </c>
      <c r="J515" s="38">
        <f>127*E515/100</f>
        <v>7.62</v>
      </c>
      <c r="K515" s="38">
        <f>26*E515/100</f>
        <v>1.56</v>
      </c>
      <c r="L515" s="38">
        <f>35*E515/100</f>
        <v>2.1</v>
      </c>
      <c r="M515" s="38">
        <f>83*E515/100</f>
        <v>4.98</v>
      </c>
      <c r="N515" s="38">
        <f>1.6*E515/100</f>
        <v>0.09600000000000002</v>
      </c>
      <c r="O515" s="38">
        <v>0</v>
      </c>
      <c r="P515" s="38">
        <v>0</v>
      </c>
      <c r="Q515" s="38">
        <v>0</v>
      </c>
      <c r="R515" s="38">
        <f>1.54*E515/100</f>
        <v>0.0924</v>
      </c>
      <c r="S515" s="38">
        <v>0</v>
      </c>
    </row>
    <row r="516" spans="1:19" ht="12.75">
      <c r="A516" s="19"/>
      <c r="B516" s="24" t="s">
        <v>76</v>
      </c>
      <c r="C516" s="24"/>
      <c r="D516" s="15">
        <v>3.6</v>
      </c>
      <c r="E516" s="15">
        <v>3.6</v>
      </c>
      <c r="F516" s="15">
        <f>72.5*D516/100</f>
        <v>2.61</v>
      </c>
      <c r="G516" s="15">
        <f>1.3*D516/100</f>
        <v>0.04680000000000001</v>
      </c>
      <c r="H516" s="15">
        <f>661*D516/100</f>
        <v>23.796</v>
      </c>
      <c r="I516" s="15">
        <f>23*D516/100</f>
        <v>0.828</v>
      </c>
      <c r="J516" s="17">
        <f>22*D516/100</f>
        <v>0.792</v>
      </c>
      <c r="K516" s="15">
        <f>3*D516/100</f>
        <v>0.10800000000000001</v>
      </c>
      <c r="L516" s="17">
        <f>19*D516/100</f>
        <v>0.684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38">
        <v>0</v>
      </c>
    </row>
    <row r="517" spans="1:19" ht="12.75">
      <c r="A517" s="19"/>
      <c r="B517" s="24" t="s">
        <v>46</v>
      </c>
      <c r="C517" s="14"/>
      <c r="D517" s="15">
        <v>1.5</v>
      </c>
      <c r="E517" s="15">
        <v>1.5</v>
      </c>
      <c r="F517" s="15">
        <v>0</v>
      </c>
      <c r="G517" s="15">
        <v>0</v>
      </c>
      <c r="H517" s="15">
        <v>0</v>
      </c>
      <c r="I517" s="15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</row>
    <row r="518" spans="1:19" ht="12.75">
      <c r="A518" s="19"/>
      <c r="B518" s="18" t="s">
        <v>46</v>
      </c>
      <c r="C518" s="5"/>
      <c r="D518" s="21">
        <v>0.5</v>
      </c>
      <c r="E518" s="21">
        <v>0.5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</row>
    <row r="519" spans="1:19" ht="12.75">
      <c r="A519" s="11" t="s">
        <v>71</v>
      </c>
      <c r="B519" s="5" t="s">
        <v>72</v>
      </c>
      <c r="C519" s="5">
        <v>150</v>
      </c>
      <c r="D519" s="15"/>
      <c r="E519" s="3"/>
      <c r="F519" s="3">
        <f>F520+F521+F522</f>
        <v>8.928999999999998</v>
      </c>
      <c r="G519" s="3">
        <f aca="true" t="shared" si="53" ref="G519:S519">G520+G521+G522</f>
        <v>0.6260000000000001</v>
      </c>
      <c r="H519" s="3">
        <f t="shared" si="53"/>
        <v>68.59700000000001</v>
      </c>
      <c r="I519" s="3">
        <f t="shared" si="53"/>
        <v>173.02</v>
      </c>
      <c r="J519" s="3">
        <f t="shared" si="53"/>
        <v>64.34</v>
      </c>
      <c r="K519" s="3">
        <f t="shared" si="53"/>
        <v>9.33</v>
      </c>
      <c r="L519" s="3">
        <f t="shared" si="53"/>
        <v>9.11</v>
      </c>
      <c r="M519" s="3">
        <f t="shared" si="53"/>
        <v>44.37</v>
      </c>
      <c r="N519" s="3">
        <f t="shared" si="53"/>
        <v>0.612</v>
      </c>
      <c r="O519" s="3">
        <f t="shared" si="53"/>
        <v>0</v>
      </c>
      <c r="P519" s="3">
        <f t="shared" si="53"/>
        <v>0</v>
      </c>
      <c r="Q519" s="3">
        <f t="shared" si="53"/>
        <v>0</v>
      </c>
      <c r="R519" s="3">
        <f t="shared" si="53"/>
        <v>0</v>
      </c>
      <c r="S519" s="3">
        <f t="shared" si="53"/>
        <v>0</v>
      </c>
    </row>
    <row r="520" spans="1:19" ht="12.75">
      <c r="A520" s="11"/>
      <c r="B520" s="18" t="s">
        <v>73</v>
      </c>
      <c r="C520" s="18"/>
      <c r="D520" s="15">
        <v>51</v>
      </c>
      <c r="E520" s="15">
        <v>51</v>
      </c>
      <c r="F520" s="15">
        <f>10.4*E520/100</f>
        <v>5.303999999999999</v>
      </c>
      <c r="G520" s="15">
        <f>1.1*E520/100</f>
        <v>0.561</v>
      </c>
      <c r="H520" s="15">
        <f>69.7*E520/100</f>
        <v>35.547000000000004</v>
      </c>
      <c r="I520" s="15">
        <f>337*E520/100</f>
        <v>171.87</v>
      </c>
      <c r="J520" s="17">
        <f>124*E520/100</f>
        <v>63.24</v>
      </c>
      <c r="K520" s="15">
        <f>18*E520/100</f>
        <v>9.18</v>
      </c>
      <c r="L520" s="15">
        <f>16*E520/100</f>
        <v>8.16</v>
      </c>
      <c r="M520" s="15">
        <f>87*E520/100</f>
        <v>44.37</v>
      </c>
      <c r="N520" s="15">
        <f>1.2*E520/100</f>
        <v>0.612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</row>
    <row r="521" spans="1:19" ht="12.75">
      <c r="A521" s="11"/>
      <c r="B521" s="18" t="s">
        <v>46</v>
      </c>
      <c r="C521" s="18"/>
      <c r="D521" s="15">
        <v>1</v>
      </c>
      <c r="E521" s="15">
        <v>1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</row>
    <row r="522" spans="1:19" ht="12.75">
      <c r="A522" s="11"/>
      <c r="B522" s="18" t="s">
        <v>35</v>
      </c>
      <c r="C522" s="18"/>
      <c r="D522" s="15">
        <v>5</v>
      </c>
      <c r="E522" s="15">
        <v>5</v>
      </c>
      <c r="F522" s="15">
        <f>72.5*D522/100</f>
        <v>3.625</v>
      </c>
      <c r="G522" s="15">
        <f>1.3*D522/100</f>
        <v>0.065</v>
      </c>
      <c r="H522" s="15">
        <f>661*D522/100</f>
        <v>33.05</v>
      </c>
      <c r="I522" s="15">
        <f>23*D522/100</f>
        <v>1.15</v>
      </c>
      <c r="J522" s="17">
        <f>22*D522/100</f>
        <v>1.1</v>
      </c>
      <c r="K522" s="15">
        <f>3*D522/100</f>
        <v>0.15</v>
      </c>
      <c r="L522" s="17">
        <f>19*D522/100</f>
        <v>0.95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38">
        <v>0</v>
      </c>
    </row>
    <row r="523" spans="1:19" ht="12.75">
      <c r="A523" s="11" t="s">
        <v>74</v>
      </c>
      <c r="B523" s="5" t="s">
        <v>75</v>
      </c>
      <c r="C523" s="39">
        <v>200</v>
      </c>
      <c r="D523" s="23"/>
      <c r="E523" s="2"/>
      <c r="F523" s="3">
        <f aca="true" t="shared" si="54" ref="F523:S523">SUM(F524:F525)</f>
        <v>0.1</v>
      </c>
      <c r="G523" s="3">
        <f t="shared" si="54"/>
        <v>0</v>
      </c>
      <c r="H523" s="3">
        <f t="shared" si="54"/>
        <v>15</v>
      </c>
      <c r="I523" s="3">
        <f t="shared" si="54"/>
        <v>57.699999999999996</v>
      </c>
      <c r="J523" s="3">
        <f t="shared" si="54"/>
        <v>12.9</v>
      </c>
      <c r="K523" s="3">
        <f t="shared" si="54"/>
        <v>2.9</v>
      </c>
      <c r="L523" s="3">
        <f t="shared" si="54"/>
        <v>2.2</v>
      </c>
      <c r="M523" s="3">
        <f t="shared" si="54"/>
        <v>4.12</v>
      </c>
      <c r="N523" s="3">
        <f t="shared" si="54"/>
        <v>0.4</v>
      </c>
      <c r="O523" s="3">
        <f t="shared" si="54"/>
        <v>0</v>
      </c>
      <c r="P523" s="3">
        <f t="shared" si="54"/>
        <v>0</v>
      </c>
      <c r="Q523" s="3">
        <f t="shared" si="54"/>
        <v>0</v>
      </c>
      <c r="R523" s="32">
        <f t="shared" si="54"/>
        <v>0</v>
      </c>
      <c r="S523" s="3">
        <f t="shared" si="54"/>
        <v>0</v>
      </c>
    </row>
    <row r="524" spans="1:19" ht="12.75">
      <c r="A524" s="11"/>
      <c r="B524" s="13" t="s">
        <v>38</v>
      </c>
      <c r="C524" s="23"/>
      <c r="D524" s="33">
        <v>50</v>
      </c>
      <c r="E524" s="33">
        <v>50</v>
      </c>
      <c r="F524" s="8">
        <v>0.1</v>
      </c>
      <c r="G524" s="8">
        <v>0</v>
      </c>
      <c r="H524" s="8">
        <v>0</v>
      </c>
      <c r="I524" s="8">
        <v>0.8</v>
      </c>
      <c r="J524" s="9">
        <v>12.4</v>
      </c>
      <c r="K524" s="8">
        <v>2.5</v>
      </c>
      <c r="L524" s="8">
        <v>2.2</v>
      </c>
      <c r="M524" s="9">
        <v>4.12</v>
      </c>
      <c r="N524" s="8">
        <v>0.4</v>
      </c>
      <c r="O524" s="8">
        <v>0</v>
      </c>
      <c r="P524" s="8">
        <v>0</v>
      </c>
      <c r="Q524" s="8">
        <v>0</v>
      </c>
      <c r="R524" s="34">
        <v>0</v>
      </c>
      <c r="S524" s="8">
        <v>0</v>
      </c>
    </row>
    <row r="525" spans="1:19" ht="12.75">
      <c r="A525" s="11"/>
      <c r="B525" s="13" t="s">
        <v>28</v>
      </c>
      <c r="C525" s="23"/>
      <c r="D525" s="33">
        <v>15</v>
      </c>
      <c r="E525" s="33">
        <v>15</v>
      </c>
      <c r="F525" s="8">
        <v>0</v>
      </c>
      <c r="G525" s="8">
        <v>0</v>
      </c>
      <c r="H525" s="8">
        <v>15</v>
      </c>
      <c r="I525" s="8">
        <v>56.9</v>
      </c>
      <c r="J525" s="9">
        <v>0.5</v>
      </c>
      <c r="K525" s="8">
        <v>0.4</v>
      </c>
      <c r="L525" s="8">
        <v>0</v>
      </c>
      <c r="M525" s="9">
        <v>0</v>
      </c>
      <c r="N525" s="8">
        <v>0</v>
      </c>
      <c r="O525" s="8">
        <v>0</v>
      </c>
      <c r="P525" s="8">
        <v>0</v>
      </c>
      <c r="Q525" s="8">
        <v>0</v>
      </c>
      <c r="R525" s="34">
        <v>0</v>
      </c>
      <c r="S525" s="8">
        <v>0</v>
      </c>
    </row>
    <row r="526" spans="1:19" ht="12.75">
      <c r="A526" s="11" t="s">
        <v>23</v>
      </c>
      <c r="B526" s="5" t="s">
        <v>89</v>
      </c>
      <c r="C526" s="5">
        <v>20</v>
      </c>
      <c r="D526" s="8">
        <v>20</v>
      </c>
      <c r="E526" s="38">
        <v>20</v>
      </c>
      <c r="F526" s="3">
        <f>7.7*E526/100</f>
        <v>1.54</v>
      </c>
      <c r="G526" s="3">
        <v>5.4</v>
      </c>
      <c r="H526" s="3">
        <f>49.8*E526/100</f>
        <v>9.96</v>
      </c>
      <c r="I526" s="3">
        <f>262*E526/100</f>
        <v>52.4</v>
      </c>
      <c r="J526" s="3">
        <f>127*E526/100</f>
        <v>25.4</v>
      </c>
      <c r="K526" s="3">
        <f>26*E526/100</f>
        <v>5.2</v>
      </c>
      <c r="L526" s="3">
        <f>35*E526/100</f>
        <v>7</v>
      </c>
      <c r="M526" s="3">
        <f>83*E526/100</f>
        <v>16.6</v>
      </c>
      <c r="N526" s="3">
        <f>1.6*E526/100</f>
        <v>0.32</v>
      </c>
      <c r="O526" s="3">
        <v>0</v>
      </c>
      <c r="P526" s="3">
        <v>0</v>
      </c>
      <c r="Q526" s="3">
        <v>0</v>
      </c>
      <c r="R526" s="3">
        <f>1.54*E526/100</f>
        <v>0.308</v>
      </c>
      <c r="S526" s="3">
        <v>0</v>
      </c>
    </row>
    <row r="527" spans="1:19" ht="12.75">
      <c r="A527" s="3" t="s">
        <v>138</v>
      </c>
      <c r="B527" s="5" t="s">
        <v>139</v>
      </c>
      <c r="C527" s="5">
        <v>20</v>
      </c>
      <c r="D527" s="23">
        <v>20</v>
      </c>
      <c r="E527" s="23">
        <v>20</v>
      </c>
      <c r="F527" s="3">
        <f>6.6*E527/100</f>
        <v>1.32</v>
      </c>
      <c r="G527" s="3">
        <f>1.2*E527/100</f>
        <v>0.24</v>
      </c>
      <c r="H527" s="3">
        <f>34.2*E527/100</f>
        <v>6.84</v>
      </c>
      <c r="I527" s="3">
        <f>181*E527/100</f>
        <v>36.2</v>
      </c>
      <c r="J527" s="3">
        <f>94*E527/100</f>
        <v>18.8</v>
      </c>
      <c r="K527" s="3">
        <f>34*E527/100</f>
        <v>6.8</v>
      </c>
      <c r="L527" s="3">
        <f>41*E527/100</f>
        <v>8.2</v>
      </c>
      <c r="M527" s="3">
        <f>120*E527/100</f>
        <v>24</v>
      </c>
      <c r="N527" s="3">
        <f>2.3*E527/100</f>
        <v>0.46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</row>
    <row r="528" spans="1:19" ht="12.75">
      <c r="A528" s="3"/>
      <c r="B528" s="2" t="s">
        <v>66</v>
      </c>
      <c r="C528" s="2"/>
      <c r="D528" s="23"/>
      <c r="E528" s="23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12.75">
      <c r="A529" s="3"/>
      <c r="B529" s="2" t="s">
        <v>205</v>
      </c>
      <c r="C529" s="2"/>
      <c r="D529" s="23"/>
      <c r="E529" s="23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12.75">
      <c r="A530" s="11">
        <v>181</v>
      </c>
      <c r="B530" s="3" t="s">
        <v>197</v>
      </c>
      <c r="C530" s="32">
        <v>220</v>
      </c>
      <c r="D530" s="6"/>
      <c r="E530" s="6"/>
      <c r="F530" s="3">
        <v>33.9</v>
      </c>
      <c r="G530" s="3">
        <v>36.6</v>
      </c>
      <c r="H530" s="3">
        <v>53</v>
      </c>
      <c r="I530" s="3">
        <v>671.6</v>
      </c>
      <c r="J530" s="3">
        <v>601.7</v>
      </c>
      <c r="K530" s="7">
        <v>73.52</v>
      </c>
      <c r="L530" s="3">
        <v>88.9</v>
      </c>
      <c r="M530" s="3">
        <v>663.2</v>
      </c>
      <c r="N530" s="3">
        <v>7.53</v>
      </c>
      <c r="O530" s="3">
        <v>2.01</v>
      </c>
      <c r="P530" s="3">
        <v>0.2</v>
      </c>
      <c r="Q530" s="3">
        <v>0.3</v>
      </c>
      <c r="R530" s="3">
        <v>8.29</v>
      </c>
      <c r="S530" s="3">
        <v>4.4</v>
      </c>
    </row>
    <row r="531" spans="1:19" ht="12.75">
      <c r="A531" s="11"/>
      <c r="B531" s="37" t="s">
        <v>191</v>
      </c>
      <c r="C531" s="13"/>
      <c r="D531" s="33">
        <v>16</v>
      </c>
      <c r="E531" s="33">
        <v>16</v>
      </c>
      <c r="F531" s="8">
        <v>0</v>
      </c>
      <c r="G531" s="8">
        <v>14</v>
      </c>
      <c r="H531" s="8">
        <v>0</v>
      </c>
      <c r="I531" s="8">
        <v>126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</row>
    <row r="532" spans="1:19" ht="12.75">
      <c r="A532" s="11"/>
      <c r="B532" s="38" t="s">
        <v>35</v>
      </c>
      <c r="C532" s="8"/>
      <c r="D532" s="33">
        <v>10</v>
      </c>
      <c r="E532" s="33">
        <v>10</v>
      </c>
      <c r="F532" s="8">
        <v>0.2</v>
      </c>
      <c r="G532" s="8">
        <v>0</v>
      </c>
      <c r="H532" s="8">
        <v>1.1</v>
      </c>
      <c r="I532" s="8">
        <v>5.6</v>
      </c>
      <c r="J532" s="8">
        <v>40</v>
      </c>
      <c r="K532" s="9">
        <v>10.2</v>
      </c>
      <c r="L532" s="8">
        <v>7.6</v>
      </c>
      <c r="M532" s="8">
        <v>11</v>
      </c>
      <c r="N532" s="8">
        <v>0.24</v>
      </c>
      <c r="O532" s="8">
        <v>1.8</v>
      </c>
      <c r="P532" s="8">
        <v>0.01</v>
      </c>
      <c r="Q532" s="8">
        <v>0.01</v>
      </c>
      <c r="R532" s="8">
        <v>0.2</v>
      </c>
      <c r="S532" s="8">
        <v>1</v>
      </c>
    </row>
    <row r="533" spans="1:19" ht="12.75">
      <c r="A533" s="11"/>
      <c r="B533" s="38" t="s">
        <v>192</v>
      </c>
      <c r="C533" s="8"/>
      <c r="D533" s="33">
        <v>30</v>
      </c>
      <c r="E533" s="33">
        <v>30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9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</row>
    <row r="534" spans="1:19" ht="12.75">
      <c r="A534" s="11"/>
      <c r="B534" s="38" t="s">
        <v>193</v>
      </c>
      <c r="C534" s="8"/>
      <c r="D534" s="33">
        <v>140</v>
      </c>
      <c r="E534" s="33">
        <v>140</v>
      </c>
      <c r="F534" s="8">
        <v>0.2</v>
      </c>
      <c r="G534" s="8">
        <v>0</v>
      </c>
      <c r="H534" s="8">
        <v>1.1</v>
      </c>
      <c r="I534" s="8">
        <v>5.7</v>
      </c>
      <c r="J534" s="8">
        <v>28</v>
      </c>
      <c r="K534" s="9">
        <v>5</v>
      </c>
      <c r="L534" s="8">
        <v>2.2</v>
      </c>
      <c r="M534" s="8">
        <v>9.3</v>
      </c>
      <c r="N534" s="8">
        <v>0.13</v>
      </c>
      <c r="O534" s="8">
        <v>0</v>
      </c>
      <c r="P534" s="8">
        <v>0</v>
      </c>
      <c r="Q534" s="8">
        <v>0</v>
      </c>
      <c r="R534" s="8">
        <v>0.03</v>
      </c>
      <c r="S534" s="8">
        <v>1.6</v>
      </c>
    </row>
    <row r="535" spans="1:19" ht="12.75">
      <c r="A535" s="11"/>
      <c r="B535" s="38" t="s">
        <v>151</v>
      </c>
      <c r="C535" s="8"/>
      <c r="D535" s="33">
        <v>40</v>
      </c>
      <c r="E535" s="33">
        <v>40</v>
      </c>
      <c r="F535" s="8">
        <v>4.9</v>
      </c>
      <c r="G535" s="8">
        <v>0.7</v>
      </c>
      <c r="H535" s="8">
        <v>50</v>
      </c>
      <c r="I535" s="8">
        <v>231</v>
      </c>
      <c r="J535" s="8">
        <v>37.8</v>
      </c>
      <c r="K535" s="9">
        <v>16.8</v>
      </c>
      <c r="L535" s="8">
        <v>16.5</v>
      </c>
      <c r="M535" s="8">
        <v>68</v>
      </c>
      <c r="N535" s="8">
        <v>1.26</v>
      </c>
      <c r="O535" s="8">
        <v>0</v>
      </c>
      <c r="P535" s="8">
        <v>0.06</v>
      </c>
      <c r="Q535" s="8">
        <v>0.02</v>
      </c>
      <c r="R535" s="8">
        <v>1.12</v>
      </c>
      <c r="S535" s="8">
        <v>0</v>
      </c>
    </row>
    <row r="536" spans="1:19" ht="24">
      <c r="A536" s="84" t="s">
        <v>185</v>
      </c>
      <c r="B536" s="85" t="s">
        <v>186</v>
      </c>
      <c r="C536" s="85">
        <v>200</v>
      </c>
      <c r="D536" s="85"/>
      <c r="E536" s="85"/>
      <c r="F536" s="3">
        <f aca="true" t="shared" si="55" ref="F536:S536">SUM(F537:F539)</f>
        <v>0.1</v>
      </c>
      <c r="G536" s="3">
        <f t="shared" si="55"/>
        <v>0</v>
      </c>
      <c r="H536" s="3">
        <f t="shared" si="55"/>
        <v>15</v>
      </c>
      <c r="I536" s="3">
        <f t="shared" si="55"/>
        <v>57.599999999999994</v>
      </c>
      <c r="J536" s="3">
        <f t="shared" si="55"/>
        <v>12.9</v>
      </c>
      <c r="K536" s="3">
        <f t="shared" si="55"/>
        <v>2.9</v>
      </c>
      <c r="L536" s="3">
        <f t="shared" si="55"/>
        <v>2.2</v>
      </c>
      <c r="M536" s="3">
        <f t="shared" si="55"/>
        <v>4.1</v>
      </c>
      <c r="N536" s="3">
        <f t="shared" si="55"/>
        <v>0.4</v>
      </c>
      <c r="O536" s="3">
        <f t="shared" si="55"/>
        <v>0</v>
      </c>
      <c r="P536" s="3">
        <f t="shared" si="55"/>
        <v>0</v>
      </c>
      <c r="Q536" s="3">
        <f t="shared" si="55"/>
        <v>0</v>
      </c>
      <c r="R536" s="3">
        <f t="shared" si="55"/>
        <v>0</v>
      </c>
      <c r="S536" s="3">
        <f t="shared" si="55"/>
        <v>0</v>
      </c>
    </row>
    <row r="537" spans="1:19" ht="12.75">
      <c r="A537" s="87" t="s">
        <v>188</v>
      </c>
      <c r="B537" s="88" t="s">
        <v>189</v>
      </c>
      <c r="C537" s="88"/>
      <c r="D537" s="88">
        <v>50</v>
      </c>
      <c r="E537" s="88">
        <v>50</v>
      </c>
      <c r="F537" s="88">
        <v>0.1</v>
      </c>
      <c r="G537" s="88">
        <v>0</v>
      </c>
      <c r="H537" s="88">
        <v>0</v>
      </c>
      <c r="I537" s="88">
        <v>0.8</v>
      </c>
      <c r="J537" s="88">
        <v>12.4</v>
      </c>
      <c r="K537" s="88">
        <v>2.5</v>
      </c>
      <c r="L537" s="88">
        <v>2.2</v>
      </c>
      <c r="M537" s="88">
        <v>4.1</v>
      </c>
      <c r="N537" s="88">
        <v>0.4</v>
      </c>
      <c r="O537" s="88">
        <v>0</v>
      </c>
      <c r="P537" s="88">
        <v>0</v>
      </c>
      <c r="Q537" s="88">
        <v>0</v>
      </c>
      <c r="R537" s="88">
        <v>0</v>
      </c>
      <c r="S537" s="88">
        <v>0</v>
      </c>
    </row>
    <row r="538" spans="1:19" ht="12.75">
      <c r="A538" s="89"/>
      <c r="B538" s="88" t="s">
        <v>28</v>
      </c>
      <c r="C538" s="88"/>
      <c r="D538" s="88">
        <v>15</v>
      </c>
      <c r="E538" s="88">
        <v>15</v>
      </c>
      <c r="F538" s="88">
        <v>0</v>
      </c>
      <c r="G538" s="88">
        <v>0</v>
      </c>
      <c r="H538" s="88">
        <v>15</v>
      </c>
      <c r="I538" s="88">
        <v>56.8</v>
      </c>
      <c r="J538" s="88">
        <v>0.5</v>
      </c>
      <c r="K538" s="88">
        <v>0.4</v>
      </c>
      <c r="L538" s="88">
        <v>0</v>
      </c>
      <c r="M538" s="88">
        <v>0</v>
      </c>
      <c r="N538" s="88">
        <v>0</v>
      </c>
      <c r="O538" s="88">
        <v>0</v>
      </c>
      <c r="P538" s="88">
        <v>0</v>
      </c>
      <c r="Q538" s="88">
        <v>0</v>
      </c>
      <c r="R538" s="88">
        <v>0</v>
      </c>
      <c r="S538" s="88">
        <v>0</v>
      </c>
    </row>
    <row r="539" spans="1:19" ht="12.75">
      <c r="A539" s="89"/>
      <c r="B539" s="88" t="s">
        <v>33</v>
      </c>
      <c r="C539" s="88"/>
      <c r="D539" s="88">
        <v>150</v>
      </c>
      <c r="E539" s="88">
        <v>150</v>
      </c>
      <c r="F539" s="88">
        <v>0</v>
      </c>
      <c r="G539" s="88">
        <v>0</v>
      </c>
      <c r="H539" s="88">
        <v>0</v>
      </c>
      <c r="I539" s="88">
        <v>0</v>
      </c>
      <c r="J539" s="88">
        <v>0</v>
      </c>
      <c r="K539" s="88">
        <v>0</v>
      </c>
      <c r="L539" s="88">
        <v>0</v>
      </c>
      <c r="M539" s="88">
        <v>0</v>
      </c>
      <c r="N539" s="88">
        <v>0</v>
      </c>
      <c r="O539" s="88">
        <v>0</v>
      </c>
      <c r="P539" s="88">
        <v>0</v>
      </c>
      <c r="Q539" s="88">
        <v>0</v>
      </c>
      <c r="R539" s="88">
        <v>0</v>
      </c>
      <c r="S539" s="88">
        <v>0</v>
      </c>
    </row>
    <row r="540" spans="1:19" ht="12.75">
      <c r="A540" s="11" t="s">
        <v>23</v>
      </c>
      <c r="B540" s="5" t="s">
        <v>198</v>
      </c>
      <c r="C540" s="5">
        <v>50</v>
      </c>
      <c r="D540" s="8">
        <v>50</v>
      </c>
      <c r="E540" s="38">
        <v>50</v>
      </c>
      <c r="F540" s="3">
        <f>7.7*E540/100</f>
        <v>3.85</v>
      </c>
      <c r="G540" s="3">
        <v>5.4</v>
      </c>
      <c r="H540" s="3">
        <f>49.8*E540/100</f>
        <v>24.9</v>
      </c>
      <c r="I540" s="3">
        <f>262*E540/100</f>
        <v>131</v>
      </c>
      <c r="J540" s="3">
        <f>127*E540/100</f>
        <v>63.5</v>
      </c>
      <c r="K540" s="3">
        <f>26*E540/100</f>
        <v>13</v>
      </c>
      <c r="L540" s="3">
        <f>35*E540/100</f>
        <v>17.5</v>
      </c>
      <c r="M540" s="3">
        <f>83*E540/100</f>
        <v>41.5</v>
      </c>
      <c r="N540" s="3">
        <f>1.6*E540/100</f>
        <v>0.8</v>
      </c>
      <c r="O540" s="3">
        <v>0</v>
      </c>
      <c r="P540" s="3">
        <v>0</v>
      </c>
      <c r="Q540" s="3">
        <v>0</v>
      </c>
      <c r="R540" s="3">
        <f>1.54*E540/100</f>
        <v>0.77</v>
      </c>
      <c r="S540" s="3">
        <v>0</v>
      </c>
    </row>
    <row r="541" spans="1:19" ht="12.75">
      <c r="A541" s="3"/>
      <c r="B541" s="2" t="s">
        <v>1</v>
      </c>
      <c r="C541" s="2"/>
      <c r="D541" s="23"/>
      <c r="E541" s="23"/>
      <c r="F541" s="4"/>
      <c r="G541" s="4"/>
      <c r="H541" s="4"/>
      <c r="I541" s="4"/>
      <c r="J541" s="10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25.5">
      <c r="A542" s="11" t="s">
        <v>2</v>
      </c>
      <c r="B542" s="5" t="s">
        <v>174</v>
      </c>
      <c r="C542" s="5">
        <v>250</v>
      </c>
      <c r="D542" s="15"/>
      <c r="E542" s="3"/>
      <c r="F542" s="3">
        <v>1.83</v>
      </c>
      <c r="G542" s="3">
        <v>5.15</v>
      </c>
      <c r="H542" s="7">
        <v>13.43</v>
      </c>
      <c r="I542" s="45">
        <v>103.97</v>
      </c>
      <c r="J542" s="7">
        <v>362.8</v>
      </c>
      <c r="K542" s="3">
        <v>33.59</v>
      </c>
      <c r="L542" s="3">
        <v>24.55</v>
      </c>
      <c r="M542" s="3">
        <v>50.1</v>
      </c>
      <c r="N542" s="3">
        <v>1.02</v>
      </c>
      <c r="O542" s="3">
        <v>0</v>
      </c>
      <c r="P542" s="3">
        <v>0</v>
      </c>
      <c r="Q542" s="3">
        <v>0</v>
      </c>
      <c r="R542" s="3">
        <v>0.39</v>
      </c>
      <c r="S542" s="3">
        <v>20.85</v>
      </c>
    </row>
    <row r="543" spans="1:19" ht="12.75">
      <c r="A543" s="11"/>
      <c r="B543" s="18" t="s">
        <v>39</v>
      </c>
      <c r="C543" s="18"/>
      <c r="D543" s="15">
        <v>50</v>
      </c>
      <c r="E543" s="15">
        <v>40</v>
      </c>
      <c r="F543" s="15">
        <v>0.6</v>
      </c>
      <c r="G543" s="15">
        <v>0.04</v>
      </c>
      <c r="H543" s="17">
        <v>4</v>
      </c>
      <c r="I543" s="17">
        <v>16.8</v>
      </c>
      <c r="J543" s="15">
        <v>115.2</v>
      </c>
      <c r="K543" s="15">
        <v>14.8</v>
      </c>
      <c r="L543" s="15">
        <v>8.8</v>
      </c>
      <c r="M543" s="15">
        <v>17.2</v>
      </c>
      <c r="N543" s="15">
        <v>0.56</v>
      </c>
      <c r="O543" s="15">
        <v>0</v>
      </c>
      <c r="P543" s="15">
        <v>0</v>
      </c>
      <c r="Q543" s="15">
        <v>0</v>
      </c>
      <c r="R543" s="15">
        <v>0</v>
      </c>
      <c r="S543" s="15">
        <v>4</v>
      </c>
    </row>
    <row r="544" spans="1:19" ht="12.75">
      <c r="A544" s="11"/>
      <c r="B544" s="18" t="s">
        <v>40</v>
      </c>
      <c r="C544" s="18"/>
      <c r="D544" s="15">
        <v>25</v>
      </c>
      <c r="E544" s="15">
        <v>20</v>
      </c>
      <c r="F544" s="15">
        <v>0.36</v>
      </c>
      <c r="G544" s="15">
        <v>0.02</v>
      </c>
      <c r="H544" s="17">
        <v>0.94</v>
      </c>
      <c r="I544" s="17">
        <v>5.4</v>
      </c>
      <c r="J544" s="15">
        <v>60</v>
      </c>
      <c r="K544" s="15">
        <v>9.6</v>
      </c>
      <c r="L544" s="15">
        <v>3.2</v>
      </c>
      <c r="M544" s="15">
        <v>6.2</v>
      </c>
      <c r="N544" s="15">
        <v>0.12</v>
      </c>
      <c r="O544" s="15">
        <v>0</v>
      </c>
      <c r="P544" s="15">
        <v>0</v>
      </c>
      <c r="Q544" s="15">
        <v>0</v>
      </c>
      <c r="R544" s="15">
        <v>0</v>
      </c>
      <c r="S544" s="15">
        <v>9</v>
      </c>
    </row>
    <row r="545" spans="1:19" ht="12.75">
      <c r="A545" s="11"/>
      <c r="B545" s="18" t="s">
        <v>29</v>
      </c>
      <c r="C545" s="18"/>
      <c r="D545" s="15">
        <v>27</v>
      </c>
      <c r="E545" s="15">
        <v>20</v>
      </c>
      <c r="F545" s="15">
        <v>0.4</v>
      </c>
      <c r="G545" s="15">
        <v>0.08</v>
      </c>
      <c r="H545" s="17">
        <v>3.46</v>
      </c>
      <c r="I545" s="17">
        <v>16</v>
      </c>
      <c r="J545" s="15">
        <v>113.6</v>
      </c>
      <c r="K545" s="15">
        <v>2</v>
      </c>
      <c r="L545" s="15">
        <v>4.6</v>
      </c>
      <c r="M545" s="15">
        <v>11.6</v>
      </c>
      <c r="N545" s="15">
        <v>0.18</v>
      </c>
      <c r="O545" s="15">
        <v>0</v>
      </c>
      <c r="P545" s="15">
        <v>0</v>
      </c>
      <c r="Q545" s="15">
        <v>0</v>
      </c>
      <c r="R545" s="15">
        <v>0.26</v>
      </c>
      <c r="S545" s="15">
        <v>4</v>
      </c>
    </row>
    <row r="546" spans="1:19" ht="12.75">
      <c r="A546" s="11"/>
      <c r="B546" s="18" t="s">
        <v>30</v>
      </c>
      <c r="C546" s="18"/>
      <c r="D546" s="15">
        <v>16</v>
      </c>
      <c r="E546" s="15">
        <v>12.5</v>
      </c>
      <c r="F546" s="15">
        <v>0.16</v>
      </c>
      <c r="G546" s="15">
        <v>0.01</v>
      </c>
      <c r="H546" s="17">
        <v>1.05</v>
      </c>
      <c r="I546" s="17">
        <v>4.25</v>
      </c>
      <c r="J546" s="16">
        <v>25</v>
      </c>
      <c r="K546" s="15">
        <v>3.37</v>
      </c>
      <c r="L546" s="15">
        <v>4.75</v>
      </c>
      <c r="M546" s="17">
        <v>6.9</v>
      </c>
      <c r="N546" s="15">
        <v>0.08</v>
      </c>
      <c r="O546" s="15">
        <v>0</v>
      </c>
      <c r="P546" s="15">
        <v>0</v>
      </c>
      <c r="Q546" s="15">
        <v>0</v>
      </c>
      <c r="R546" s="15">
        <v>0.13</v>
      </c>
      <c r="S546" s="15">
        <v>1.25</v>
      </c>
    </row>
    <row r="547" spans="1:19" ht="12.75">
      <c r="A547" s="11"/>
      <c r="B547" s="18" t="s">
        <v>31</v>
      </c>
      <c r="C547" s="18"/>
      <c r="D547" s="15">
        <v>12</v>
      </c>
      <c r="E547" s="15">
        <v>10</v>
      </c>
      <c r="F547" s="15">
        <v>0.14</v>
      </c>
      <c r="G547" s="15">
        <v>0</v>
      </c>
      <c r="H547" s="17">
        <v>0.91</v>
      </c>
      <c r="I547" s="17">
        <v>4.1</v>
      </c>
      <c r="J547" s="23">
        <v>17.5</v>
      </c>
      <c r="K547" s="23">
        <v>3.1</v>
      </c>
      <c r="L547" s="23">
        <v>1.4</v>
      </c>
      <c r="M547" s="23">
        <v>5.8</v>
      </c>
      <c r="N547" s="23">
        <v>0.08</v>
      </c>
      <c r="O547" s="23">
        <v>0</v>
      </c>
      <c r="P547" s="23">
        <v>0</v>
      </c>
      <c r="Q547" s="23">
        <v>0</v>
      </c>
      <c r="R547" s="23">
        <v>0</v>
      </c>
      <c r="S547" s="23">
        <v>1</v>
      </c>
    </row>
    <row r="548" spans="1:19" ht="12.75">
      <c r="A548" s="11"/>
      <c r="B548" s="18" t="s">
        <v>34</v>
      </c>
      <c r="C548" s="18"/>
      <c r="D548" s="15">
        <v>3</v>
      </c>
      <c r="E548" s="15">
        <v>3</v>
      </c>
      <c r="F548" s="15">
        <v>0.17</v>
      </c>
      <c r="G548" s="15">
        <v>0</v>
      </c>
      <c r="H548" s="17">
        <v>0.8</v>
      </c>
      <c r="I548" s="17">
        <v>3.7</v>
      </c>
      <c r="J548" s="15">
        <v>31.5</v>
      </c>
      <c r="K548" s="15">
        <v>0.72</v>
      </c>
      <c r="L548" s="15">
        <v>1.8</v>
      </c>
      <c r="M548" s="15">
        <v>2.4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1.6</v>
      </c>
    </row>
    <row r="549" spans="1:19" ht="12.75">
      <c r="A549" s="11"/>
      <c r="B549" s="37" t="s">
        <v>35</v>
      </c>
      <c r="C549" s="18"/>
      <c r="D549" s="15">
        <v>5</v>
      </c>
      <c r="E549" s="15">
        <v>5</v>
      </c>
      <c r="F549" s="15">
        <v>0</v>
      </c>
      <c r="G549" s="15">
        <v>5</v>
      </c>
      <c r="H549" s="17">
        <v>0</v>
      </c>
      <c r="I549" s="17">
        <v>44.95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</row>
    <row r="550" spans="1:19" ht="12.75">
      <c r="A550" s="11"/>
      <c r="B550" s="18" t="s">
        <v>46</v>
      </c>
      <c r="C550" s="18"/>
      <c r="D550" s="15">
        <v>2.5</v>
      </c>
      <c r="E550" s="15">
        <v>2.5</v>
      </c>
      <c r="F550" s="15">
        <v>0</v>
      </c>
      <c r="G550" s="15">
        <v>0</v>
      </c>
      <c r="H550" s="17">
        <v>0</v>
      </c>
      <c r="I550" s="17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</row>
    <row r="551" spans="1:19" ht="12.75">
      <c r="A551" s="11"/>
      <c r="B551" s="27" t="s">
        <v>50</v>
      </c>
      <c r="C551" s="27"/>
      <c r="D551" s="23">
        <v>5</v>
      </c>
      <c r="E551" s="23">
        <v>5</v>
      </c>
      <c r="F551" s="23">
        <v>0.7</v>
      </c>
      <c r="G551" s="23">
        <v>0.8</v>
      </c>
      <c r="H551" s="23">
        <v>0.1</v>
      </c>
      <c r="I551" s="23">
        <v>12</v>
      </c>
      <c r="J551" s="23">
        <v>6.3</v>
      </c>
      <c r="K551" s="23">
        <v>5</v>
      </c>
      <c r="L551" s="23">
        <v>0.4</v>
      </c>
      <c r="M551" s="23">
        <v>3.5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</row>
    <row r="552" spans="1:19" ht="12.75">
      <c r="A552" s="11"/>
      <c r="B552" s="18" t="s">
        <v>41</v>
      </c>
      <c r="C552" s="18"/>
      <c r="D552" s="15">
        <v>200</v>
      </c>
      <c r="E552" s="15">
        <v>200</v>
      </c>
      <c r="F552" s="15">
        <v>0</v>
      </c>
      <c r="G552" s="15">
        <v>0</v>
      </c>
      <c r="H552" s="16">
        <v>0</v>
      </c>
      <c r="I552" s="16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</row>
    <row r="553" spans="1:19" ht="25.5">
      <c r="A553" s="11">
        <v>290</v>
      </c>
      <c r="B553" s="5" t="s">
        <v>208</v>
      </c>
      <c r="C553" s="5" t="s">
        <v>209</v>
      </c>
      <c r="D553" s="23"/>
      <c r="E553" s="3"/>
      <c r="F553" s="3">
        <v>9.4</v>
      </c>
      <c r="G553" s="3">
        <v>11.33</v>
      </c>
      <c r="H553" s="3">
        <v>15.22</v>
      </c>
      <c r="I553" s="3">
        <v>203.14</v>
      </c>
      <c r="J553" s="3">
        <v>240.3</v>
      </c>
      <c r="K553" s="3">
        <v>21.21</v>
      </c>
      <c r="L553" s="3">
        <v>21.79</v>
      </c>
      <c r="M553" s="3">
        <v>104.6</v>
      </c>
      <c r="N553" s="3">
        <v>1.54</v>
      </c>
      <c r="O553" s="3">
        <v>0</v>
      </c>
      <c r="P553" s="3">
        <v>0.015</v>
      </c>
      <c r="Q553" s="3">
        <v>0.08</v>
      </c>
      <c r="R553" s="3">
        <v>2.23</v>
      </c>
      <c r="S553" s="3">
        <v>4.4</v>
      </c>
    </row>
    <row r="554" spans="1:19" ht="12.75">
      <c r="A554" s="11"/>
      <c r="B554" s="65" t="s">
        <v>210</v>
      </c>
      <c r="C554" s="13"/>
      <c r="D554" s="68">
        <v>118.8</v>
      </c>
      <c r="E554" s="68">
        <v>71</v>
      </c>
      <c r="F554" s="68">
        <v>7.07</v>
      </c>
      <c r="G554" s="68">
        <v>6.08</v>
      </c>
      <c r="H554" s="68">
        <v>0</v>
      </c>
      <c r="I554" s="68">
        <v>83</v>
      </c>
      <c r="J554" s="68">
        <v>123.5</v>
      </c>
      <c r="K554" s="68">
        <v>3.42</v>
      </c>
      <c r="L554" s="68">
        <v>8.36</v>
      </c>
      <c r="M554" s="68">
        <v>71.44</v>
      </c>
      <c r="N554" s="68">
        <v>1.03</v>
      </c>
      <c r="O554" s="68">
        <v>0</v>
      </c>
      <c r="P554" s="68">
        <v>0</v>
      </c>
      <c r="Q554" s="68">
        <v>0.08</v>
      </c>
      <c r="R554" s="68">
        <v>1.78</v>
      </c>
      <c r="S554" s="68">
        <v>0</v>
      </c>
    </row>
    <row r="555" spans="1:19" ht="12.75">
      <c r="A555" s="11"/>
      <c r="B555" s="41" t="s">
        <v>43</v>
      </c>
      <c r="C555" s="13"/>
      <c r="D555" s="68">
        <v>45.6</v>
      </c>
      <c r="E555" s="68">
        <v>45.6</v>
      </c>
      <c r="F555" s="68">
        <v>0</v>
      </c>
      <c r="G555" s="68">
        <v>0</v>
      </c>
      <c r="H555" s="68">
        <v>0</v>
      </c>
      <c r="I555" s="68">
        <v>0</v>
      </c>
      <c r="J555" s="68">
        <v>0</v>
      </c>
      <c r="K555" s="68">
        <v>0</v>
      </c>
      <c r="L555" s="68">
        <v>0</v>
      </c>
      <c r="M555" s="68">
        <v>0</v>
      </c>
      <c r="N555" s="68">
        <v>0</v>
      </c>
      <c r="O555" s="68">
        <v>0</v>
      </c>
      <c r="P555" s="68">
        <v>0</v>
      </c>
      <c r="Q555" s="68">
        <v>0</v>
      </c>
      <c r="R555" s="68">
        <v>0</v>
      </c>
      <c r="S555" s="68">
        <v>0</v>
      </c>
    </row>
    <row r="556" spans="1:19" ht="12.75">
      <c r="A556" s="11"/>
      <c r="B556" s="65" t="s">
        <v>50</v>
      </c>
      <c r="C556" s="14"/>
      <c r="D556" s="68">
        <v>15.6</v>
      </c>
      <c r="E556" s="68">
        <v>15.6</v>
      </c>
      <c r="F556" s="8">
        <v>0.7</v>
      </c>
      <c r="G556" s="8">
        <v>0.8</v>
      </c>
      <c r="H556" s="8">
        <v>4.5</v>
      </c>
      <c r="I556" s="8">
        <v>23.6</v>
      </c>
      <c r="J556" s="9">
        <v>11.45</v>
      </c>
      <c r="K556" s="8">
        <v>2.35</v>
      </c>
      <c r="L556" s="8">
        <v>3.15</v>
      </c>
      <c r="M556" s="9">
        <v>7.5</v>
      </c>
      <c r="N556" s="8">
        <v>0.15</v>
      </c>
      <c r="O556" s="8">
        <v>0</v>
      </c>
      <c r="P556" s="8">
        <v>0.015</v>
      </c>
      <c r="Q556" s="8">
        <v>0</v>
      </c>
      <c r="R556" s="8">
        <v>0.14</v>
      </c>
      <c r="S556" s="8">
        <v>0</v>
      </c>
    </row>
    <row r="557" spans="1:19" ht="12.75">
      <c r="A557" s="11"/>
      <c r="B557" s="97" t="s">
        <v>32</v>
      </c>
      <c r="C557" s="23"/>
      <c r="D557" s="68">
        <v>2.4</v>
      </c>
      <c r="E557" s="68">
        <v>2.4</v>
      </c>
      <c r="F557" s="68">
        <v>0</v>
      </c>
      <c r="G557" s="68">
        <v>3</v>
      </c>
      <c r="H557" s="68">
        <v>0</v>
      </c>
      <c r="I557" s="68">
        <v>26.97</v>
      </c>
      <c r="J557" s="68">
        <v>0</v>
      </c>
      <c r="K557" s="68">
        <v>0</v>
      </c>
      <c r="L557" s="68">
        <v>0</v>
      </c>
      <c r="M557" s="68">
        <v>0</v>
      </c>
      <c r="N557" s="68">
        <v>0</v>
      </c>
      <c r="O557" s="68">
        <v>0</v>
      </c>
      <c r="P557" s="68">
        <v>0</v>
      </c>
      <c r="Q557" s="68">
        <v>0</v>
      </c>
      <c r="R557" s="68">
        <v>0</v>
      </c>
      <c r="S557" s="68">
        <v>0</v>
      </c>
    </row>
    <row r="558" spans="1:19" ht="12.75">
      <c r="A558" s="11"/>
      <c r="B558" s="97" t="s">
        <v>69</v>
      </c>
      <c r="C558" s="23"/>
      <c r="D558" s="68">
        <v>4.56</v>
      </c>
      <c r="E558" s="68">
        <v>4.56</v>
      </c>
      <c r="F558" s="68">
        <v>0.41</v>
      </c>
      <c r="G558" s="68">
        <v>0</v>
      </c>
      <c r="H558" s="68">
        <v>2.76</v>
      </c>
      <c r="I558" s="68">
        <v>13.36</v>
      </c>
      <c r="J558" s="68">
        <v>7.04</v>
      </c>
      <c r="K558" s="68">
        <v>4.6</v>
      </c>
      <c r="L558" s="68">
        <v>0</v>
      </c>
      <c r="M558" s="68">
        <v>0</v>
      </c>
      <c r="N558" s="68">
        <v>0</v>
      </c>
      <c r="O558" s="68">
        <v>0</v>
      </c>
      <c r="P558" s="68">
        <v>0</v>
      </c>
      <c r="Q558" s="68">
        <v>0</v>
      </c>
      <c r="R558" s="68">
        <v>0.05</v>
      </c>
      <c r="S558" s="68">
        <v>0</v>
      </c>
    </row>
    <row r="559" spans="1:19" ht="12.75">
      <c r="A559" s="11"/>
      <c r="B559" s="97" t="s">
        <v>46</v>
      </c>
      <c r="C559" s="23"/>
      <c r="D559" s="68">
        <v>1</v>
      </c>
      <c r="E559" s="68">
        <v>1</v>
      </c>
      <c r="F559" s="68">
        <v>0</v>
      </c>
      <c r="G559" s="68">
        <v>0</v>
      </c>
      <c r="H559" s="68">
        <v>0</v>
      </c>
      <c r="I559" s="68">
        <v>0</v>
      </c>
      <c r="J559" s="68">
        <v>0</v>
      </c>
      <c r="K559" s="68">
        <v>0</v>
      </c>
      <c r="L559" s="68">
        <v>0</v>
      </c>
      <c r="M559" s="68">
        <v>0</v>
      </c>
      <c r="N559" s="68">
        <v>0</v>
      </c>
      <c r="O559" s="68">
        <v>0</v>
      </c>
      <c r="P559" s="68">
        <v>0</v>
      </c>
      <c r="Q559" s="68">
        <v>0</v>
      </c>
      <c r="R559" s="68">
        <v>0</v>
      </c>
      <c r="S559" s="68">
        <v>0</v>
      </c>
    </row>
    <row r="560" spans="1:19" ht="12.75">
      <c r="A560" s="19"/>
      <c r="B560" s="13" t="s">
        <v>34</v>
      </c>
      <c r="C560" s="24"/>
      <c r="D560" s="8">
        <v>2.4</v>
      </c>
      <c r="E560" s="8">
        <v>2.4</v>
      </c>
      <c r="F560" s="8">
        <v>0.1</v>
      </c>
      <c r="G560" s="8">
        <v>0</v>
      </c>
      <c r="H560" s="8">
        <v>0.4</v>
      </c>
      <c r="I560" s="8">
        <v>2</v>
      </c>
      <c r="J560" s="8">
        <v>17.5</v>
      </c>
      <c r="K560" s="8">
        <v>0.4</v>
      </c>
      <c r="L560" s="8">
        <v>1</v>
      </c>
      <c r="M560" s="8">
        <v>1.36</v>
      </c>
      <c r="N560" s="8">
        <v>0.05</v>
      </c>
      <c r="O560" s="8">
        <v>0</v>
      </c>
      <c r="P560" s="8">
        <v>0</v>
      </c>
      <c r="Q560" s="8">
        <v>0</v>
      </c>
      <c r="R560" s="8">
        <v>0.04</v>
      </c>
      <c r="S560" s="8">
        <v>0.9</v>
      </c>
    </row>
    <row r="561" spans="1:19" ht="12.75">
      <c r="A561" s="11">
        <v>305</v>
      </c>
      <c r="B561" s="35" t="s">
        <v>165</v>
      </c>
      <c r="C561" s="3">
        <v>150</v>
      </c>
      <c r="D561" s="8"/>
      <c r="E561" s="8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</row>
    <row r="562" spans="1:19" ht="12.75">
      <c r="A562" s="11"/>
      <c r="B562" s="38" t="s">
        <v>49</v>
      </c>
      <c r="C562" s="13"/>
      <c r="D562" s="68">
        <v>52.5</v>
      </c>
      <c r="E562" s="68">
        <v>52.5</v>
      </c>
      <c r="F562" s="68">
        <f>12.6*E562/100</f>
        <v>6.615</v>
      </c>
      <c r="G562" s="68">
        <f>3.3*E562/100</f>
        <v>1.7325</v>
      </c>
      <c r="H562" s="68">
        <f>62.1*E562/100</f>
        <v>32.6025</v>
      </c>
      <c r="I562" s="68">
        <f>335*E562/100</f>
        <v>175.875</v>
      </c>
      <c r="J562" s="68">
        <f>167*E562/100</f>
        <v>87.675</v>
      </c>
      <c r="K562" s="68">
        <f>70*E562/100</f>
        <v>36.75</v>
      </c>
      <c r="L562" s="68">
        <f>98*E562/100</f>
        <v>51.45</v>
      </c>
      <c r="M562" s="68">
        <f>298*E562/100</f>
        <v>156.45</v>
      </c>
      <c r="N562" s="68">
        <f>8*E562/100</f>
        <v>4.2</v>
      </c>
      <c r="O562" s="68">
        <v>0</v>
      </c>
      <c r="P562" s="68">
        <v>0</v>
      </c>
      <c r="Q562" s="68">
        <v>0</v>
      </c>
      <c r="R562" s="68">
        <v>0</v>
      </c>
      <c r="S562" s="68">
        <v>0</v>
      </c>
    </row>
    <row r="563" spans="1:19" ht="12.75">
      <c r="A563" s="11"/>
      <c r="B563" s="37" t="s">
        <v>46</v>
      </c>
      <c r="C563" s="13"/>
      <c r="D563" s="8">
        <v>1.5</v>
      </c>
      <c r="E563" s="38">
        <v>1.5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</row>
    <row r="564" spans="1:19" ht="12.75">
      <c r="A564" s="11"/>
      <c r="B564" s="24" t="s">
        <v>35</v>
      </c>
      <c r="C564" s="13"/>
      <c r="D564" s="8">
        <v>5</v>
      </c>
      <c r="E564" s="38">
        <v>5</v>
      </c>
      <c r="F564" s="8">
        <v>0</v>
      </c>
      <c r="G564" s="8">
        <f>72.5*E564/100</f>
        <v>3.625</v>
      </c>
      <c r="H564" s="8">
        <v>0</v>
      </c>
      <c r="I564" s="8">
        <f>661*E564/100</f>
        <v>33.05</v>
      </c>
      <c r="J564" s="8">
        <f>23*E564/100</f>
        <v>1.15</v>
      </c>
      <c r="K564" s="8">
        <f>22*E564/100</f>
        <v>1.1</v>
      </c>
      <c r="L564" s="8">
        <f>3*E564/100</f>
        <v>0.15</v>
      </c>
      <c r="M564" s="8">
        <f>19*E564/100</f>
        <v>0.95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</row>
    <row r="565" spans="1:19" ht="12.75">
      <c r="A565" s="11" t="s">
        <v>74</v>
      </c>
      <c r="B565" s="5" t="s">
        <v>75</v>
      </c>
      <c r="C565" s="39">
        <v>200</v>
      </c>
      <c r="D565" s="23"/>
      <c r="E565" s="2"/>
      <c r="F565" s="3">
        <f aca="true" t="shared" si="56" ref="F565:S565">SUM(F566:F567)</f>
        <v>0.1</v>
      </c>
      <c r="G565" s="3">
        <f t="shared" si="56"/>
        <v>0</v>
      </c>
      <c r="H565" s="3">
        <f t="shared" si="56"/>
        <v>0</v>
      </c>
      <c r="I565" s="3">
        <f t="shared" si="56"/>
        <v>0.8</v>
      </c>
      <c r="J565" s="3">
        <f t="shared" si="56"/>
        <v>12.4</v>
      </c>
      <c r="K565" s="3">
        <f t="shared" si="56"/>
        <v>2.5</v>
      </c>
      <c r="L565" s="3">
        <f t="shared" si="56"/>
        <v>2.2</v>
      </c>
      <c r="M565" s="3">
        <f t="shared" si="56"/>
        <v>4.12</v>
      </c>
      <c r="N565" s="3">
        <f t="shared" si="56"/>
        <v>0.4</v>
      </c>
      <c r="O565" s="3">
        <f t="shared" si="56"/>
        <v>0</v>
      </c>
      <c r="P565" s="3">
        <f t="shared" si="56"/>
        <v>0</v>
      </c>
      <c r="Q565" s="3">
        <f t="shared" si="56"/>
        <v>0</v>
      </c>
      <c r="R565" s="32">
        <f t="shared" si="56"/>
        <v>0</v>
      </c>
      <c r="S565" s="3">
        <f t="shared" si="56"/>
        <v>0</v>
      </c>
    </row>
    <row r="566" spans="1:19" ht="12.75">
      <c r="A566" s="11"/>
      <c r="B566" s="13" t="s">
        <v>38</v>
      </c>
      <c r="C566" s="23"/>
      <c r="D566" s="33">
        <v>50</v>
      </c>
      <c r="E566" s="33">
        <v>50</v>
      </c>
      <c r="F566" s="8">
        <v>0.1</v>
      </c>
      <c r="G566" s="8">
        <v>0</v>
      </c>
      <c r="H566" s="8">
        <v>0</v>
      </c>
      <c r="I566" s="8">
        <v>0.8</v>
      </c>
      <c r="J566" s="9">
        <v>12.4</v>
      </c>
      <c r="K566" s="8">
        <v>2.5</v>
      </c>
      <c r="L566" s="8">
        <v>2.2</v>
      </c>
      <c r="M566" s="9">
        <v>4.12</v>
      </c>
      <c r="N566" s="8">
        <v>0.4</v>
      </c>
      <c r="O566" s="8">
        <v>0</v>
      </c>
      <c r="P566" s="8">
        <v>0</v>
      </c>
      <c r="Q566" s="8">
        <v>0</v>
      </c>
      <c r="R566" s="34">
        <v>0</v>
      </c>
      <c r="S566" s="8">
        <v>0</v>
      </c>
    </row>
    <row r="567" spans="1:19" ht="12.75">
      <c r="A567" s="11"/>
      <c r="B567" s="13" t="s">
        <v>33</v>
      </c>
      <c r="C567" s="23"/>
      <c r="D567" s="33">
        <v>150</v>
      </c>
      <c r="E567" s="33">
        <v>150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34">
        <v>0</v>
      </c>
      <c r="S567" s="8">
        <v>0</v>
      </c>
    </row>
    <row r="568" spans="1:19" ht="12.75">
      <c r="A568" s="47"/>
      <c r="B568" s="14" t="s">
        <v>48</v>
      </c>
      <c r="C568" s="5"/>
      <c r="D568" s="38"/>
      <c r="E568" s="38"/>
      <c r="F568" s="3"/>
      <c r="G568" s="3"/>
      <c r="H568" s="3"/>
      <c r="I568" s="3"/>
      <c r="J568" s="7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>
      <c r="A569" s="11" t="s">
        <v>23</v>
      </c>
      <c r="B569" s="5" t="s">
        <v>89</v>
      </c>
      <c r="C569" s="5">
        <v>20</v>
      </c>
      <c r="D569" s="8">
        <v>20</v>
      </c>
      <c r="E569" s="38">
        <v>20</v>
      </c>
      <c r="F569" s="3">
        <f>7.7*E569/100</f>
        <v>1.54</v>
      </c>
      <c r="G569" s="3">
        <v>5.4</v>
      </c>
      <c r="H569" s="3">
        <f>49.8*E569/100</f>
        <v>9.96</v>
      </c>
      <c r="I569" s="3">
        <f>262*E569/100</f>
        <v>52.4</v>
      </c>
      <c r="J569" s="3">
        <f>127*E569/100</f>
        <v>25.4</v>
      </c>
      <c r="K569" s="3">
        <f>26*E569/100</f>
        <v>5.2</v>
      </c>
      <c r="L569" s="3">
        <f>35*E569/100</f>
        <v>7</v>
      </c>
      <c r="M569" s="3">
        <f>83*E569/100</f>
        <v>16.6</v>
      </c>
      <c r="N569" s="3">
        <f>1.6*E569/100</f>
        <v>0.32</v>
      </c>
      <c r="O569" s="3">
        <v>0</v>
      </c>
      <c r="P569" s="3">
        <v>0</v>
      </c>
      <c r="Q569" s="3">
        <v>0</v>
      </c>
      <c r="R569" s="3">
        <f>1.54*E569/100</f>
        <v>0.308</v>
      </c>
      <c r="S569" s="3">
        <v>0</v>
      </c>
    </row>
    <row r="570" spans="1:19" ht="12.75">
      <c r="A570" s="3" t="s">
        <v>138</v>
      </c>
      <c r="B570" s="5" t="s">
        <v>139</v>
      </c>
      <c r="C570" s="5">
        <v>20</v>
      </c>
      <c r="D570" s="23">
        <v>20</v>
      </c>
      <c r="E570" s="23">
        <v>20</v>
      </c>
      <c r="F570" s="3">
        <f>6.6*E570/100</f>
        <v>1.32</v>
      </c>
      <c r="G570" s="3">
        <f>1.2*E570/100</f>
        <v>0.24</v>
      </c>
      <c r="H570" s="3">
        <f>34.2*E570/100</f>
        <v>6.84</v>
      </c>
      <c r="I570" s="3">
        <f>181*E570/100</f>
        <v>36.2</v>
      </c>
      <c r="J570" s="3">
        <f>94*E570/100</f>
        <v>18.8</v>
      </c>
      <c r="K570" s="3">
        <f>34*E570/100</f>
        <v>6.8</v>
      </c>
      <c r="L570" s="3">
        <f>41*E570/100</f>
        <v>8.2</v>
      </c>
      <c r="M570" s="3">
        <f>120*E570/100</f>
        <v>24</v>
      </c>
      <c r="N570" s="3">
        <f>2.3*E570/100</f>
        <v>0.46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</row>
    <row r="571" ht="12.75">
      <c r="B571" s="2" t="s">
        <v>162</v>
      </c>
    </row>
    <row r="572" spans="1:19" ht="25.5">
      <c r="A572" s="11">
        <v>290</v>
      </c>
      <c r="B572" s="5" t="s">
        <v>208</v>
      </c>
      <c r="C572" s="5" t="s">
        <v>209</v>
      </c>
      <c r="D572" s="23"/>
      <c r="E572" s="3"/>
      <c r="F572" s="3">
        <v>9.4</v>
      </c>
      <c r="G572" s="3">
        <v>11.33</v>
      </c>
      <c r="H572" s="3">
        <v>15.22</v>
      </c>
      <c r="I572" s="3">
        <v>203.14</v>
      </c>
      <c r="J572" s="3">
        <v>240.3</v>
      </c>
      <c r="K572" s="3">
        <v>21.21</v>
      </c>
      <c r="L572" s="3">
        <v>21.79</v>
      </c>
      <c r="M572" s="3">
        <v>104.6</v>
      </c>
      <c r="N572" s="3">
        <v>1.54</v>
      </c>
      <c r="O572" s="3">
        <v>0</v>
      </c>
      <c r="P572" s="3">
        <v>0.015</v>
      </c>
      <c r="Q572" s="3">
        <v>0.08</v>
      </c>
      <c r="R572" s="3">
        <v>2.23</v>
      </c>
      <c r="S572" s="3">
        <v>4.4</v>
      </c>
    </row>
    <row r="573" spans="1:19" ht="12.75">
      <c r="A573" s="11"/>
      <c r="B573" s="65" t="s">
        <v>210</v>
      </c>
      <c r="C573" s="13"/>
      <c r="D573" s="68">
        <v>118.8</v>
      </c>
      <c r="E573" s="68">
        <v>71</v>
      </c>
      <c r="F573" s="68">
        <v>7.07</v>
      </c>
      <c r="G573" s="68">
        <v>6.08</v>
      </c>
      <c r="H573" s="68">
        <v>0</v>
      </c>
      <c r="I573" s="68">
        <v>83</v>
      </c>
      <c r="J573" s="68">
        <v>123.5</v>
      </c>
      <c r="K573" s="68">
        <v>3.42</v>
      </c>
      <c r="L573" s="68">
        <v>8.36</v>
      </c>
      <c r="M573" s="68">
        <v>71.44</v>
      </c>
      <c r="N573" s="68">
        <v>1.03</v>
      </c>
      <c r="O573" s="68">
        <v>0</v>
      </c>
      <c r="P573" s="68">
        <v>0</v>
      </c>
      <c r="Q573" s="68">
        <v>0.08</v>
      </c>
      <c r="R573" s="68">
        <v>1.78</v>
      </c>
      <c r="S573" s="68">
        <v>0</v>
      </c>
    </row>
    <row r="574" spans="1:19" ht="12.75">
      <c r="A574" s="11"/>
      <c r="B574" s="41" t="s">
        <v>43</v>
      </c>
      <c r="C574" s="13"/>
      <c r="D574" s="68">
        <v>45.6</v>
      </c>
      <c r="E574" s="68">
        <v>45.6</v>
      </c>
      <c r="F574" s="68">
        <v>0</v>
      </c>
      <c r="G574" s="68">
        <v>0</v>
      </c>
      <c r="H574" s="68">
        <v>0</v>
      </c>
      <c r="I574" s="68">
        <v>0</v>
      </c>
      <c r="J574" s="68">
        <v>0</v>
      </c>
      <c r="K574" s="68">
        <v>0</v>
      </c>
      <c r="L574" s="68">
        <v>0</v>
      </c>
      <c r="M574" s="68">
        <v>0</v>
      </c>
      <c r="N574" s="68">
        <v>0</v>
      </c>
      <c r="O574" s="68">
        <v>0</v>
      </c>
      <c r="P574" s="68">
        <v>0</v>
      </c>
      <c r="Q574" s="68">
        <v>0</v>
      </c>
      <c r="R574" s="68">
        <v>0</v>
      </c>
      <c r="S574" s="68">
        <v>0</v>
      </c>
    </row>
    <row r="575" spans="1:19" ht="12.75">
      <c r="A575" s="11"/>
      <c r="B575" s="65" t="s">
        <v>50</v>
      </c>
      <c r="C575" s="14"/>
      <c r="D575" s="68">
        <v>15.6</v>
      </c>
      <c r="E575" s="68">
        <v>15.6</v>
      </c>
      <c r="F575" s="8">
        <v>0.7</v>
      </c>
      <c r="G575" s="8">
        <v>0.8</v>
      </c>
      <c r="H575" s="8">
        <v>4.5</v>
      </c>
      <c r="I575" s="8">
        <v>23.6</v>
      </c>
      <c r="J575" s="9">
        <v>11.45</v>
      </c>
      <c r="K575" s="8">
        <v>2.35</v>
      </c>
      <c r="L575" s="8">
        <v>3.15</v>
      </c>
      <c r="M575" s="9">
        <v>7.5</v>
      </c>
      <c r="N575" s="8">
        <v>0.15</v>
      </c>
      <c r="O575" s="8">
        <v>0</v>
      </c>
      <c r="P575" s="8">
        <v>0.015</v>
      </c>
      <c r="Q575" s="8">
        <v>0</v>
      </c>
      <c r="R575" s="8">
        <v>0.14</v>
      </c>
      <c r="S575" s="8">
        <v>0</v>
      </c>
    </row>
    <row r="576" spans="1:19" ht="12.75">
      <c r="A576" s="11"/>
      <c r="B576" s="97" t="s">
        <v>32</v>
      </c>
      <c r="C576" s="23"/>
      <c r="D576" s="68">
        <v>2.4</v>
      </c>
      <c r="E576" s="68">
        <v>2.4</v>
      </c>
      <c r="F576" s="68">
        <v>0</v>
      </c>
      <c r="G576" s="68">
        <v>3</v>
      </c>
      <c r="H576" s="68">
        <v>0</v>
      </c>
      <c r="I576" s="68">
        <v>26.97</v>
      </c>
      <c r="J576" s="68">
        <v>0</v>
      </c>
      <c r="K576" s="68">
        <v>0</v>
      </c>
      <c r="L576" s="68">
        <v>0</v>
      </c>
      <c r="M576" s="68">
        <v>0</v>
      </c>
      <c r="N576" s="68">
        <v>0</v>
      </c>
      <c r="O576" s="68">
        <v>0</v>
      </c>
      <c r="P576" s="68">
        <v>0</v>
      </c>
      <c r="Q576" s="68">
        <v>0</v>
      </c>
      <c r="R576" s="68">
        <v>0</v>
      </c>
      <c r="S576" s="68">
        <v>0</v>
      </c>
    </row>
    <row r="577" spans="1:19" ht="12.75">
      <c r="A577" s="11"/>
      <c r="B577" s="97" t="s">
        <v>69</v>
      </c>
      <c r="C577" s="23"/>
      <c r="D577" s="68">
        <v>4.56</v>
      </c>
      <c r="E577" s="68">
        <v>4.56</v>
      </c>
      <c r="F577" s="68">
        <v>0.41</v>
      </c>
      <c r="G577" s="68">
        <v>0</v>
      </c>
      <c r="H577" s="68">
        <v>2.76</v>
      </c>
      <c r="I577" s="68">
        <v>13.36</v>
      </c>
      <c r="J577" s="68">
        <v>7.04</v>
      </c>
      <c r="K577" s="68">
        <v>4.6</v>
      </c>
      <c r="L577" s="68">
        <v>0</v>
      </c>
      <c r="M577" s="68">
        <v>0</v>
      </c>
      <c r="N577" s="68">
        <v>0</v>
      </c>
      <c r="O577" s="68">
        <v>0</v>
      </c>
      <c r="P577" s="68">
        <v>0</v>
      </c>
      <c r="Q577" s="68">
        <v>0</v>
      </c>
      <c r="R577" s="68">
        <v>0.05</v>
      </c>
      <c r="S577" s="68">
        <v>0</v>
      </c>
    </row>
    <row r="578" spans="1:19" ht="12.75">
      <c r="A578" s="11"/>
      <c r="B578" s="97" t="s">
        <v>46</v>
      </c>
      <c r="C578" s="23"/>
      <c r="D578" s="68">
        <v>1</v>
      </c>
      <c r="E578" s="68">
        <v>1</v>
      </c>
      <c r="F578" s="68">
        <v>0</v>
      </c>
      <c r="G578" s="68">
        <v>0</v>
      </c>
      <c r="H578" s="68">
        <v>0</v>
      </c>
      <c r="I578" s="68">
        <v>0</v>
      </c>
      <c r="J578" s="68">
        <v>0</v>
      </c>
      <c r="K578" s="68">
        <v>0</v>
      </c>
      <c r="L578" s="68">
        <v>0</v>
      </c>
      <c r="M578" s="68">
        <v>0</v>
      </c>
      <c r="N578" s="68">
        <v>0</v>
      </c>
      <c r="O578" s="68">
        <v>0</v>
      </c>
      <c r="P578" s="68">
        <v>0</v>
      </c>
      <c r="Q578" s="68">
        <v>0</v>
      </c>
      <c r="R578" s="68">
        <v>0</v>
      </c>
      <c r="S578" s="68">
        <v>0</v>
      </c>
    </row>
    <row r="579" spans="1:19" ht="12.75">
      <c r="A579" s="19"/>
      <c r="B579" s="13" t="s">
        <v>34</v>
      </c>
      <c r="C579" s="24"/>
      <c r="D579" s="8">
        <v>2.4</v>
      </c>
      <c r="E579" s="8">
        <v>2.4</v>
      </c>
      <c r="F579" s="8">
        <v>0.1</v>
      </c>
      <c r="G579" s="8">
        <v>0</v>
      </c>
      <c r="H579" s="8">
        <v>0.4</v>
      </c>
      <c r="I579" s="8">
        <v>2</v>
      </c>
      <c r="J579" s="8">
        <v>17.5</v>
      </c>
      <c r="K579" s="8">
        <v>0.4</v>
      </c>
      <c r="L579" s="8">
        <v>1</v>
      </c>
      <c r="M579" s="8">
        <v>1.36</v>
      </c>
      <c r="N579" s="8">
        <v>0.05</v>
      </c>
      <c r="O579" s="8">
        <v>0</v>
      </c>
      <c r="P579" s="8">
        <v>0</v>
      </c>
      <c r="Q579" s="8">
        <v>0</v>
      </c>
      <c r="R579" s="8">
        <v>0.04</v>
      </c>
      <c r="S579" s="8">
        <v>0.9</v>
      </c>
    </row>
    <row r="580" spans="1:19" ht="12.75">
      <c r="A580" s="11">
        <v>305</v>
      </c>
      <c r="B580" s="35" t="s">
        <v>165</v>
      </c>
      <c r="C580" s="3">
        <v>150</v>
      </c>
      <c r="D580" s="8"/>
      <c r="E580" s="8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</row>
    <row r="581" spans="1:19" ht="12.75">
      <c r="A581" s="11"/>
      <c r="B581" s="38" t="s">
        <v>49</v>
      </c>
      <c r="C581" s="13"/>
      <c r="D581" s="68">
        <v>52.5</v>
      </c>
      <c r="E581" s="68">
        <v>52.5</v>
      </c>
      <c r="F581" s="68">
        <f>12.6*E581/100</f>
        <v>6.615</v>
      </c>
      <c r="G581" s="68">
        <f>3.3*E581/100</f>
        <v>1.7325</v>
      </c>
      <c r="H581" s="68">
        <f>62.1*E581/100</f>
        <v>32.6025</v>
      </c>
      <c r="I581" s="68">
        <f>335*E581/100</f>
        <v>175.875</v>
      </c>
      <c r="J581" s="68">
        <f>167*E581/100</f>
        <v>87.675</v>
      </c>
      <c r="K581" s="68">
        <f>70*E581/100</f>
        <v>36.75</v>
      </c>
      <c r="L581" s="68">
        <f>98*E581/100</f>
        <v>51.45</v>
      </c>
      <c r="M581" s="68">
        <f>298*E581/100</f>
        <v>156.45</v>
      </c>
      <c r="N581" s="68">
        <f>8*E581/100</f>
        <v>4.2</v>
      </c>
      <c r="O581" s="68">
        <v>0</v>
      </c>
      <c r="P581" s="68">
        <v>0</v>
      </c>
      <c r="Q581" s="68">
        <v>0</v>
      </c>
      <c r="R581" s="68">
        <v>0</v>
      </c>
      <c r="S581" s="68">
        <v>0</v>
      </c>
    </row>
    <row r="582" spans="1:19" ht="12.75">
      <c r="A582" s="11"/>
      <c r="B582" s="37" t="s">
        <v>46</v>
      </c>
      <c r="C582" s="13"/>
      <c r="D582" s="8">
        <v>1.5</v>
      </c>
      <c r="E582" s="38">
        <v>1.5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</row>
    <row r="583" spans="1:19" ht="12.75">
      <c r="A583" s="11"/>
      <c r="B583" s="24" t="s">
        <v>35</v>
      </c>
      <c r="C583" s="13"/>
      <c r="D583" s="8">
        <v>5</v>
      </c>
      <c r="E583" s="38">
        <v>5</v>
      </c>
      <c r="F583" s="8">
        <v>0</v>
      </c>
      <c r="G583" s="8">
        <f>72.5*E583/100</f>
        <v>3.625</v>
      </c>
      <c r="H583" s="8">
        <v>0</v>
      </c>
      <c r="I583" s="8">
        <f>661*E583/100</f>
        <v>33.05</v>
      </c>
      <c r="J583" s="8">
        <f>23*E583/100</f>
        <v>1.15</v>
      </c>
      <c r="K583" s="8">
        <f>22*E583/100</f>
        <v>1.1</v>
      </c>
      <c r="L583" s="8">
        <f>3*E583/100</f>
        <v>0.15</v>
      </c>
      <c r="M583" s="8">
        <f>19*E583/100</f>
        <v>0.95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</row>
    <row r="584" spans="1:19" ht="12.75">
      <c r="A584" s="11" t="s">
        <v>74</v>
      </c>
      <c r="B584" s="5" t="s">
        <v>75</v>
      </c>
      <c r="C584" s="39">
        <v>200</v>
      </c>
      <c r="D584" s="23"/>
      <c r="E584" s="2"/>
      <c r="F584" s="3">
        <f aca="true" t="shared" si="57" ref="F584:S584">SUM(F585:F586)</f>
        <v>0.1</v>
      </c>
      <c r="G584" s="3">
        <f t="shared" si="57"/>
        <v>0</v>
      </c>
      <c r="H584" s="3">
        <f t="shared" si="57"/>
        <v>0</v>
      </c>
      <c r="I584" s="3">
        <f t="shared" si="57"/>
        <v>0.8</v>
      </c>
      <c r="J584" s="3">
        <f t="shared" si="57"/>
        <v>12.4</v>
      </c>
      <c r="K584" s="3">
        <f t="shared" si="57"/>
        <v>2.5</v>
      </c>
      <c r="L584" s="3">
        <f t="shared" si="57"/>
        <v>2.2</v>
      </c>
      <c r="M584" s="3">
        <f t="shared" si="57"/>
        <v>4.12</v>
      </c>
      <c r="N584" s="3">
        <f t="shared" si="57"/>
        <v>0.4</v>
      </c>
      <c r="O584" s="3">
        <f t="shared" si="57"/>
        <v>0</v>
      </c>
      <c r="P584" s="3">
        <f t="shared" si="57"/>
        <v>0</v>
      </c>
      <c r="Q584" s="3">
        <f t="shared" si="57"/>
        <v>0</v>
      </c>
      <c r="R584" s="32">
        <f t="shared" si="57"/>
        <v>0</v>
      </c>
      <c r="S584" s="3">
        <f t="shared" si="57"/>
        <v>0</v>
      </c>
    </row>
    <row r="585" spans="1:19" ht="12.75">
      <c r="A585" s="11"/>
      <c r="B585" s="13" t="s">
        <v>38</v>
      </c>
      <c r="C585" s="23"/>
      <c r="D585" s="33">
        <v>50</v>
      </c>
      <c r="E585" s="33">
        <v>50</v>
      </c>
      <c r="F585" s="8">
        <v>0.1</v>
      </c>
      <c r="G585" s="8">
        <v>0</v>
      </c>
      <c r="H585" s="8">
        <v>0</v>
      </c>
      <c r="I585" s="8">
        <v>0.8</v>
      </c>
      <c r="J585" s="9">
        <v>12.4</v>
      </c>
      <c r="K585" s="8">
        <v>2.5</v>
      </c>
      <c r="L585" s="8">
        <v>2.2</v>
      </c>
      <c r="M585" s="9">
        <v>4.12</v>
      </c>
      <c r="N585" s="8">
        <v>0.4</v>
      </c>
      <c r="O585" s="8">
        <v>0</v>
      </c>
      <c r="P585" s="8">
        <v>0</v>
      </c>
      <c r="Q585" s="8">
        <v>0</v>
      </c>
      <c r="R585" s="34">
        <v>0</v>
      </c>
      <c r="S585" s="8">
        <v>0</v>
      </c>
    </row>
    <row r="586" spans="1:19" ht="12.75">
      <c r="A586" s="11"/>
      <c r="B586" s="13" t="s">
        <v>33</v>
      </c>
      <c r="C586" s="23"/>
      <c r="D586" s="33">
        <v>150</v>
      </c>
      <c r="E586" s="33">
        <v>150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34">
        <v>0</v>
      </c>
      <c r="S586" s="8">
        <v>0</v>
      </c>
    </row>
    <row r="587" spans="1:19" ht="12.75">
      <c r="A587" s="47"/>
      <c r="B587" s="14" t="s">
        <v>48</v>
      </c>
      <c r="C587" s="5"/>
      <c r="D587" s="38"/>
      <c r="E587" s="38"/>
      <c r="F587" s="3"/>
      <c r="G587" s="3"/>
      <c r="H587" s="3"/>
      <c r="I587" s="3"/>
      <c r="J587" s="7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3" t="s">
        <v>138</v>
      </c>
      <c r="B588" s="5" t="s">
        <v>139</v>
      </c>
      <c r="C588" s="5">
        <v>20</v>
      </c>
      <c r="D588" s="23">
        <v>20</v>
      </c>
      <c r="E588" s="23">
        <v>20</v>
      </c>
      <c r="F588" s="3">
        <f>6.6*E588/100</f>
        <v>1.32</v>
      </c>
      <c r="G588" s="3">
        <f>1.2*E588/100</f>
        <v>0.24</v>
      </c>
      <c r="H588" s="3">
        <f>34.2*E588/100</f>
        <v>6.84</v>
      </c>
      <c r="I588" s="3">
        <f>181*E588/100</f>
        <v>36.2</v>
      </c>
      <c r="J588" s="3">
        <f>94*E588/100</f>
        <v>18.8</v>
      </c>
      <c r="K588" s="3">
        <f>34*E588/100</f>
        <v>6.8</v>
      </c>
      <c r="L588" s="3">
        <f>41*E588/100</f>
        <v>8.2</v>
      </c>
      <c r="M588" s="3">
        <f>120*E588/100</f>
        <v>24</v>
      </c>
      <c r="N588" s="3">
        <f>2.3*E588/100</f>
        <v>0.46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</row>
  </sheetData>
  <sheetProtection/>
  <mergeCells count="11">
    <mergeCell ref="F1:F2"/>
    <mergeCell ref="D353:E353"/>
    <mergeCell ref="G1:G2"/>
    <mergeCell ref="H1:H2"/>
    <mergeCell ref="I1:I2"/>
    <mergeCell ref="J1:N1"/>
    <mergeCell ref="A1:A2"/>
    <mergeCell ref="B1:B2"/>
    <mergeCell ref="C1:C2"/>
    <mergeCell ref="D1:D2"/>
    <mergeCell ref="E1:E2"/>
  </mergeCells>
  <printOptions/>
  <pageMargins left="0.03937007874015748" right="0.03937007874015748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PageLayoutView="0" workbookViewId="0" topLeftCell="A1">
      <selection activeCell="Y62" sqref="Y62"/>
    </sheetView>
  </sheetViews>
  <sheetFormatPr defaultColWidth="9.00390625" defaultRowHeight="12.75"/>
  <cols>
    <col min="1" max="1" width="24.125" style="0" customWidth="1"/>
    <col min="2" max="2" width="5.125" style="0" customWidth="1"/>
    <col min="3" max="3" width="6.125" style="0" customWidth="1"/>
    <col min="4" max="4" width="5.875" style="0" customWidth="1"/>
    <col min="5" max="5" width="6.25390625" style="0" customWidth="1"/>
    <col min="6" max="6" width="6.125" style="0" customWidth="1"/>
    <col min="7" max="7" width="6.75390625" style="0" customWidth="1"/>
    <col min="8" max="8" width="4.75390625" style="0" customWidth="1"/>
    <col min="9" max="9" width="5.75390625" style="0" customWidth="1"/>
    <col min="10" max="10" width="5.875" style="0" customWidth="1"/>
    <col min="11" max="11" width="5.25390625" style="0" customWidth="1"/>
    <col min="12" max="12" width="4.875" style="0" customWidth="1"/>
    <col min="13" max="13" width="5.00390625" style="0" customWidth="1"/>
    <col min="14" max="15" width="5.625" style="0" customWidth="1"/>
    <col min="16" max="16" width="5.875" style="0" customWidth="1"/>
    <col min="17" max="17" width="5.375" style="0" customWidth="1"/>
    <col min="18" max="18" width="4.75390625" style="0" customWidth="1"/>
    <col min="19" max="19" width="5.375" style="0" customWidth="1"/>
    <col min="20" max="20" width="7.375" style="52" customWidth="1"/>
    <col min="21" max="21" width="7.00390625" style="0" customWidth="1"/>
    <col min="22" max="22" width="7.25390625" style="61" customWidth="1"/>
  </cols>
  <sheetData>
    <row r="1" spans="1:21" ht="12.75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60" t="s">
        <v>105</v>
      </c>
      <c r="S1" s="60"/>
      <c r="T1" s="54"/>
      <c r="U1" s="53"/>
    </row>
    <row r="2" spans="1:22" ht="12.75" customHeight="1">
      <c r="A2" s="107" t="s">
        <v>153</v>
      </c>
      <c r="B2" s="107"/>
      <c r="C2" s="107"/>
      <c r="D2" s="107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 t="s">
        <v>155</v>
      </c>
      <c r="S2" s="53"/>
      <c r="T2" s="60"/>
      <c r="U2" s="60"/>
      <c r="V2" s="62"/>
    </row>
    <row r="3" spans="1:22" ht="12.75">
      <c r="A3" s="107"/>
      <c r="B3" s="107"/>
      <c r="C3" s="107"/>
      <c r="D3" s="107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 t="s">
        <v>156</v>
      </c>
      <c r="S3" s="53"/>
      <c r="T3" s="60"/>
      <c r="U3" s="60"/>
      <c r="V3" s="62"/>
    </row>
    <row r="4" spans="1:22" ht="12.75">
      <c r="A4" s="108" t="s">
        <v>154</v>
      </c>
      <c r="B4" s="108"/>
      <c r="C4" s="10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  <c r="U4" s="108"/>
      <c r="V4" s="108"/>
    </row>
    <row r="5" spans="1:22" ht="12.75">
      <c r="A5" s="53"/>
      <c r="B5" s="109" t="s">
        <v>150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53"/>
      <c r="V5" s="63"/>
    </row>
    <row r="6" spans="1:22" ht="12.75">
      <c r="A6" s="53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53"/>
      <c r="V6" s="63"/>
    </row>
    <row r="7" spans="1:22" ht="12.75">
      <c r="A7" s="55" t="s">
        <v>93</v>
      </c>
      <c r="B7" s="55" t="s">
        <v>94</v>
      </c>
      <c r="C7" s="55" t="s">
        <v>95</v>
      </c>
      <c r="D7" s="55" t="s">
        <v>96</v>
      </c>
      <c r="E7" s="55" t="s">
        <v>97</v>
      </c>
      <c r="F7" s="55" t="s">
        <v>98</v>
      </c>
      <c r="G7" s="55" t="s">
        <v>99</v>
      </c>
      <c r="H7" s="55" t="s">
        <v>100</v>
      </c>
      <c r="I7" s="55" t="s">
        <v>101</v>
      </c>
      <c r="J7" s="55" t="s">
        <v>102</v>
      </c>
      <c r="K7" s="55" t="s">
        <v>103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6" t="s">
        <v>135</v>
      </c>
      <c r="U7" s="55" t="s">
        <v>47</v>
      </c>
      <c r="V7" s="57" t="s">
        <v>149</v>
      </c>
    </row>
    <row r="8" spans="1:22" ht="12.75">
      <c r="A8" s="55" t="s">
        <v>106</v>
      </c>
      <c r="B8" s="55">
        <v>40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/>
      <c r="I8" s="55">
        <v>0</v>
      </c>
      <c r="J8" s="55">
        <v>0</v>
      </c>
      <c r="K8" s="55">
        <v>0</v>
      </c>
      <c r="L8" s="55">
        <v>0</v>
      </c>
      <c r="M8" s="55">
        <v>40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6">
        <f>B8+C8+D8+E8+F8+G8+H8+I8+J8+K8+L8+M8+N8+O8+P8+Q8+R8+S8</f>
        <v>80</v>
      </c>
      <c r="U8" s="55">
        <v>43.91</v>
      </c>
      <c r="V8" s="57">
        <f aca="true" t="shared" si="0" ref="V8:V51">T8*U8/1000</f>
        <v>3.5128</v>
      </c>
    </row>
    <row r="9" spans="1:22" ht="12.75">
      <c r="A9" s="55" t="s">
        <v>85</v>
      </c>
      <c r="B9" s="55">
        <v>0</v>
      </c>
      <c r="C9" s="55">
        <v>0</v>
      </c>
      <c r="D9" s="55">
        <v>8.6</v>
      </c>
      <c r="E9" s="55">
        <v>0</v>
      </c>
      <c r="F9" s="55">
        <v>0</v>
      </c>
      <c r="G9" s="55">
        <v>0</v>
      </c>
      <c r="H9" s="55"/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8.6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6">
        <f aca="true" t="shared" si="1" ref="T9:T64">B9+C9+D9+E9+F9+G9+H9+I9+J9+K9+L9+M9+N9+O9+P9+Q9+R9+S9</f>
        <v>17.2</v>
      </c>
      <c r="U9" s="55">
        <v>34.49</v>
      </c>
      <c r="V9" s="57">
        <f t="shared" si="0"/>
        <v>0.5932280000000001</v>
      </c>
    </row>
    <row r="10" spans="1:22" ht="12.75">
      <c r="A10" s="55" t="s">
        <v>44</v>
      </c>
      <c r="B10" s="55">
        <v>0</v>
      </c>
      <c r="C10" s="55">
        <v>70</v>
      </c>
      <c r="D10" s="55">
        <v>0</v>
      </c>
      <c r="E10" s="55">
        <v>0</v>
      </c>
      <c r="F10" s="55">
        <v>0</v>
      </c>
      <c r="G10" s="55">
        <v>0</v>
      </c>
      <c r="H10" s="55"/>
      <c r="I10" s="55">
        <v>70</v>
      </c>
      <c r="J10" s="55">
        <v>0</v>
      </c>
      <c r="K10" s="55">
        <v>0</v>
      </c>
      <c r="L10" s="55">
        <v>70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f t="shared" si="1"/>
        <v>210</v>
      </c>
      <c r="U10" s="55">
        <v>27</v>
      </c>
      <c r="V10" s="57">
        <f t="shared" si="0"/>
        <v>5.67</v>
      </c>
    </row>
    <row r="11" spans="1:22" ht="12.75">
      <c r="A11" s="55" t="s">
        <v>148</v>
      </c>
      <c r="B11" s="55">
        <v>0</v>
      </c>
      <c r="C11" s="55">
        <v>0</v>
      </c>
      <c r="D11" s="55">
        <v>5</v>
      </c>
      <c r="E11" s="55">
        <v>0</v>
      </c>
      <c r="F11" s="55">
        <v>0</v>
      </c>
      <c r="G11" s="55">
        <v>0</v>
      </c>
      <c r="H11" s="55"/>
      <c r="I11" s="55">
        <v>0</v>
      </c>
      <c r="J11" s="55">
        <v>5</v>
      </c>
      <c r="K11" s="55">
        <v>0</v>
      </c>
      <c r="L11" s="55">
        <v>0</v>
      </c>
      <c r="M11" s="55">
        <v>0</v>
      </c>
      <c r="N11" s="55">
        <v>5</v>
      </c>
      <c r="O11" s="55">
        <v>0</v>
      </c>
      <c r="P11" s="55">
        <v>0</v>
      </c>
      <c r="Q11" s="55">
        <v>0</v>
      </c>
      <c r="R11" s="55">
        <v>5</v>
      </c>
      <c r="S11" s="55">
        <v>0</v>
      </c>
      <c r="T11" s="56">
        <f t="shared" si="1"/>
        <v>20</v>
      </c>
      <c r="U11" s="55">
        <v>27.78</v>
      </c>
      <c r="V11" s="57">
        <f t="shared" si="0"/>
        <v>0.5556</v>
      </c>
    </row>
    <row r="12" spans="1:22" ht="12.75">
      <c r="A12" s="55" t="s">
        <v>107</v>
      </c>
      <c r="B12" s="55">
        <v>0</v>
      </c>
      <c r="C12" s="55">
        <v>0</v>
      </c>
      <c r="D12" s="55">
        <v>0</v>
      </c>
      <c r="E12" s="55">
        <v>70</v>
      </c>
      <c r="F12" s="55">
        <v>0</v>
      </c>
      <c r="G12" s="55">
        <v>28.2</v>
      </c>
      <c r="H12" s="55"/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70</v>
      </c>
      <c r="P12" s="55">
        <v>0</v>
      </c>
      <c r="Q12" s="55">
        <v>28.2</v>
      </c>
      <c r="R12" s="55">
        <v>0</v>
      </c>
      <c r="S12" s="55">
        <v>0</v>
      </c>
      <c r="T12" s="56">
        <f t="shared" si="1"/>
        <v>196.39999999999998</v>
      </c>
      <c r="U12" s="55">
        <v>50.17</v>
      </c>
      <c r="V12" s="57">
        <f t="shared" si="0"/>
        <v>9.853387999999999</v>
      </c>
    </row>
    <row r="13" spans="1:22" ht="12.75">
      <c r="A13" s="55" t="s">
        <v>91</v>
      </c>
      <c r="B13" s="55">
        <v>0</v>
      </c>
      <c r="C13" s="55">
        <v>0</v>
      </c>
      <c r="D13" s="55">
        <v>0</v>
      </c>
      <c r="E13" s="55">
        <v>0</v>
      </c>
      <c r="F13" s="55">
        <v>36.4</v>
      </c>
      <c r="G13" s="55">
        <v>0</v>
      </c>
      <c r="H13" s="55">
        <v>82.8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36.4</v>
      </c>
      <c r="Q13" s="55">
        <v>0</v>
      </c>
      <c r="R13" s="55">
        <v>0</v>
      </c>
      <c r="S13" s="55">
        <v>0</v>
      </c>
      <c r="T13" s="56">
        <f t="shared" si="1"/>
        <v>155.6</v>
      </c>
      <c r="U13" s="55">
        <v>75.26</v>
      </c>
      <c r="V13" s="57">
        <f t="shared" si="0"/>
        <v>11.710456</v>
      </c>
    </row>
    <row r="14" spans="1:22" ht="12.75">
      <c r="A14" s="55" t="s">
        <v>27</v>
      </c>
      <c r="B14" s="55">
        <v>91</v>
      </c>
      <c r="C14" s="55">
        <v>0</v>
      </c>
      <c r="D14" s="55">
        <v>0</v>
      </c>
      <c r="E14" s="55">
        <v>130</v>
      </c>
      <c r="F14" s="55">
        <v>127.3</v>
      </c>
      <c r="G14" s="57">
        <v>91</v>
      </c>
      <c r="H14" s="55"/>
      <c r="I14" s="55">
        <v>31.4</v>
      </c>
      <c r="J14" s="55">
        <v>231</v>
      </c>
      <c r="K14" s="55">
        <v>0</v>
      </c>
      <c r="L14" s="55">
        <v>0</v>
      </c>
      <c r="M14" s="55">
        <v>91</v>
      </c>
      <c r="N14" s="55">
        <v>0</v>
      </c>
      <c r="O14" s="55">
        <v>130</v>
      </c>
      <c r="P14" s="55">
        <v>127.3</v>
      </c>
      <c r="Q14" s="57">
        <v>91</v>
      </c>
      <c r="R14" s="55">
        <v>231</v>
      </c>
      <c r="S14" s="55">
        <v>0</v>
      </c>
      <c r="T14" s="56">
        <f t="shared" si="1"/>
        <v>1372</v>
      </c>
      <c r="U14" s="55">
        <v>48.95</v>
      </c>
      <c r="V14" s="57">
        <f t="shared" si="0"/>
        <v>67.1594</v>
      </c>
    </row>
    <row r="15" spans="1:22" ht="21" customHeight="1">
      <c r="A15" s="58" t="s">
        <v>35</v>
      </c>
      <c r="B15" s="55">
        <v>29.3</v>
      </c>
      <c r="C15" s="55">
        <v>15.8</v>
      </c>
      <c r="D15" s="55">
        <v>10.7</v>
      </c>
      <c r="E15" s="55">
        <v>10</v>
      </c>
      <c r="F15" s="55">
        <v>25</v>
      </c>
      <c r="G15" s="55">
        <v>9</v>
      </c>
      <c r="H15" s="55">
        <v>21.5</v>
      </c>
      <c r="I15" s="55">
        <v>8.6</v>
      </c>
      <c r="J15" s="55">
        <v>14.3</v>
      </c>
      <c r="K15" s="55">
        <v>10</v>
      </c>
      <c r="L15" s="55">
        <v>15.8</v>
      </c>
      <c r="M15" s="55">
        <v>29.3</v>
      </c>
      <c r="N15" s="55">
        <v>10.7</v>
      </c>
      <c r="O15" s="55">
        <v>10</v>
      </c>
      <c r="P15" s="55">
        <v>25</v>
      </c>
      <c r="Q15" s="55">
        <v>9</v>
      </c>
      <c r="R15" s="55">
        <v>14.3</v>
      </c>
      <c r="S15" s="55">
        <v>10</v>
      </c>
      <c r="T15" s="56">
        <f t="shared" si="1"/>
        <v>278.3</v>
      </c>
      <c r="U15" s="55">
        <v>400</v>
      </c>
      <c r="V15" s="57">
        <f t="shared" si="0"/>
        <v>111.32</v>
      </c>
    </row>
    <row r="16" spans="1:22" ht="12.75">
      <c r="A16" s="55" t="s">
        <v>108</v>
      </c>
      <c r="B16" s="55">
        <v>0</v>
      </c>
      <c r="C16" s="55">
        <v>0</v>
      </c>
      <c r="D16" s="55">
        <v>134.3</v>
      </c>
      <c r="E16" s="55">
        <v>0</v>
      </c>
      <c r="F16" s="55">
        <v>0</v>
      </c>
      <c r="G16" s="55">
        <v>0</v>
      </c>
      <c r="H16" s="55"/>
      <c r="I16" s="55">
        <v>145.7</v>
      </c>
      <c r="J16" s="55">
        <v>0</v>
      </c>
      <c r="K16" s="55">
        <v>0</v>
      </c>
      <c r="L16" s="55">
        <v>0</v>
      </c>
      <c r="M16" s="55">
        <v>0</v>
      </c>
      <c r="N16" s="55">
        <v>134.3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6">
        <f t="shared" si="1"/>
        <v>414.3</v>
      </c>
      <c r="U16" s="55">
        <v>220</v>
      </c>
      <c r="V16" s="57">
        <f t="shared" si="0"/>
        <v>91.146</v>
      </c>
    </row>
    <row r="17" spans="1:22" ht="12.75">
      <c r="A17" s="55" t="s">
        <v>50</v>
      </c>
      <c r="B17" s="55">
        <v>0</v>
      </c>
      <c r="C17" s="55">
        <v>0</v>
      </c>
      <c r="D17" s="55">
        <v>10.7</v>
      </c>
      <c r="E17" s="55">
        <v>0</v>
      </c>
      <c r="F17" s="55">
        <v>36</v>
      </c>
      <c r="G17" s="55">
        <v>25</v>
      </c>
      <c r="H17" s="55"/>
      <c r="I17" s="55">
        <v>0</v>
      </c>
      <c r="J17" s="55">
        <v>5</v>
      </c>
      <c r="K17" s="55">
        <v>0</v>
      </c>
      <c r="L17" s="55">
        <v>0</v>
      </c>
      <c r="M17" s="55">
        <v>0</v>
      </c>
      <c r="N17" s="55">
        <v>10.7</v>
      </c>
      <c r="O17" s="55">
        <v>0</v>
      </c>
      <c r="P17" s="55">
        <v>36</v>
      </c>
      <c r="Q17" s="55">
        <v>25</v>
      </c>
      <c r="R17" s="55">
        <v>5</v>
      </c>
      <c r="S17" s="55">
        <v>0</v>
      </c>
      <c r="T17" s="56">
        <f t="shared" si="1"/>
        <v>153.4</v>
      </c>
      <c r="U17" s="55">
        <v>163.01</v>
      </c>
      <c r="V17" s="57">
        <f t="shared" si="0"/>
        <v>25.005734</v>
      </c>
    </row>
    <row r="18" spans="1:22" ht="12.75">
      <c r="A18" s="55" t="s">
        <v>87</v>
      </c>
      <c r="B18" s="55">
        <v>16</v>
      </c>
      <c r="C18" s="55">
        <v>10.5</v>
      </c>
      <c r="D18" s="55">
        <v>0</v>
      </c>
      <c r="E18" s="55">
        <v>0</v>
      </c>
      <c r="F18" s="55">
        <v>0</v>
      </c>
      <c r="G18" s="55">
        <v>10.5</v>
      </c>
      <c r="H18" s="55">
        <v>16</v>
      </c>
      <c r="I18" s="55">
        <v>0</v>
      </c>
      <c r="J18" s="55">
        <v>0</v>
      </c>
      <c r="K18" s="55">
        <v>0</v>
      </c>
      <c r="L18" s="55">
        <v>10.5</v>
      </c>
      <c r="M18" s="55">
        <v>16</v>
      </c>
      <c r="N18" s="55">
        <v>0</v>
      </c>
      <c r="O18" s="55">
        <v>0</v>
      </c>
      <c r="P18" s="55">
        <v>0</v>
      </c>
      <c r="Q18" s="55">
        <v>10.5</v>
      </c>
      <c r="R18" s="55">
        <v>0</v>
      </c>
      <c r="S18" s="55">
        <v>0</v>
      </c>
      <c r="T18" s="56">
        <f t="shared" si="1"/>
        <v>90</v>
      </c>
      <c r="U18" s="55">
        <v>382.08</v>
      </c>
      <c r="V18" s="57">
        <f t="shared" si="0"/>
        <v>34.3872</v>
      </c>
    </row>
    <row r="19" spans="1:22" ht="12.75">
      <c r="A19" s="55" t="s">
        <v>86</v>
      </c>
      <c r="B19" s="55">
        <v>0</v>
      </c>
      <c r="C19" s="55">
        <v>0</v>
      </c>
      <c r="D19" s="55">
        <v>57</v>
      </c>
      <c r="E19" s="55">
        <v>0</v>
      </c>
      <c r="F19" s="55">
        <v>0</v>
      </c>
      <c r="G19" s="55">
        <v>0</v>
      </c>
      <c r="H19" s="55"/>
      <c r="I19" s="55">
        <v>57</v>
      </c>
      <c r="J19" s="55">
        <v>0</v>
      </c>
      <c r="K19" s="55">
        <v>0</v>
      </c>
      <c r="L19" s="55">
        <v>0</v>
      </c>
      <c r="M19" s="55">
        <v>0</v>
      </c>
      <c r="N19" s="55">
        <v>57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6">
        <f t="shared" si="1"/>
        <v>171</v>
      </c>
      <c r="U19" s="55">
        <v>203</v>
      </c>
      <c r="V19" s="57">
        <f t="shared" si="0"/>
        <v>34.713</v>
      </c>
    </row>
    <row r="20" spans="1:22" ht="12.75">
      <c r="A20" s="55" t="s">
        <v>109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/>
      <c r="I20" s="55">
        <v>0</v>
      </c>
      <c r="J20" s="55">
        <v>0</v>
      </c>
      <c r="K20" s="55">
        <v>90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90</v>
      </c>
      <c r="T20" s="56">
        <f t="shared" si="1"/>
        <v>180</v>
      </c>
      <c r="U20" s="55">
        <v>303.47</v>
      </c>
      <c r="V20" s="57">
        <f t="shared" si="0"/>
        <v>54.62460000000001</v>
      </c>
    </row>
    <row r="21" spans="1:22" ht="12.75">
      <c r="A21" s="55" t="s">
        <v>28</v>
      </c>
      <c r="B21" s="55">
        <v>52</v>
      </c>
      <c r="C21" s="55">
        <v>35.75</v>
      </c>
      <c r="D21" s="55">
        <v>46.4</v>
      </c>
      <c r="E21" s="55">
        <v>35</v>
      </c>
      <c r="F21" s="55">
        <v>49.5</v>
      </c>
      <c r="G21" s="55">
        <v>52</v>
      </c>
      <c r="H21" s="55">
        <v>35</v>
      </c>
      <c r="I21" s="55">
        <v>38.2</v>
      </c>
      <c r="J21" s="55">
        <v>38.6</v>
      </c>
      <c r="K21" s="55">
        <v>40.4</v>
      </c>
      <c r="L21" s="55">
        <v>35.75</v>
      </c>
      <c r="M21" s="55">
        <v>52</v>
      </c>
      <c r="N21" s="55">
        <v>46.4</v>
      </c>
      <c r="O21" s="55">
        <v>35</v>
      </c>
      <c r="P21" s="55">
        <v>49.5</v>
      </c>
      <c r="Q21" s="55">
        <v>52</v>
      </c>
      <c r="R21" s="55">
        <v>38.6</v>
      </c>
      <c r="S21" s="55">
        <v>40.4</v>
      </c>
      <c r="T21" s="56">
        <f t="shared" si="1"/>
        <v>772.5</v>
      </c>
      <c r="U21" s="55">
        <v>40.95</v>
      </c>
      <c r="V21" s="57">
        <f t="shared" si="0"/>
        <v>31.633875000000003</v>
      </c>
    </row>
    <row r="22" spans="1:22" ht="12.75">
      <c r="A22" s="55" t="s">
        <v>46</v>
      </c>
      <c r="B22" s="55">
        <v>5.3</v>
      </c>
      <c r="C22" s="55">
        <v>9.3</v>
      </c>
      <c r="D22" s="55">
        <v>3.68</v>
      </c>
      <c r="E22" s="55">
        <v>4.5</v>
      </c>
      <c r="F22" s="55">
        <v>1.6</v>
      </c>
      <c r="G22" s="55">
        <v>7.9</v>
      </c>
      <c r="H22" s="55">
        <v>8.8</v>
      </c>
      <c r="I22" s="55">
        <v>8.5</v>
      </c>
      <c r="J22" s="55">
        <v>5.7</v>
      </c>
      <c r="K22" s="55">
        <v>3</v>
      </c>
      <c r="L22" s="55">
        <v>9.3</v>
      </c>
      <c r="M22" s="55">
        <v>5.3</v>
      </c>
      <c r="N22" s="55">
        <v>3.68</v>
      </c>
      <c r="O22" s="55">
        <v>4.5</v>
      </c>
      <c r="P22" s="55">
        <v>1.6</v>
      </c>
      <c r="Q22" s="55">
        <v>7.9</v>
      </c>
      <c r="R22" s="55">
        <v>5.7</v>
      </c>
      <c r="S22" s="55">
        <v>3</v>
      </c>
      <c r="T22" s="56">
        <f t="shared" si="1"/>
        <v>99.26</v>
      </c>
      <c r="U22" s="55">
        <v>15</v>
      </c>
      <c r="V22" s="57">
        <f t="shared" si="0"/>
        <v>1.4889000000000001</v>
      </c>
    </row>
    <row r="23" spans="1:22" ht="12.75">
      <c r="A23" s="55" t="s">
        <v>84</v>
      </c>
      <c r="B23" s="55">
        <v>0</v>
      </c>
      <c r="C23" s="55">
        <v>0</v>
      </c>
      <c r="D23" s="55">
        <v>0</v>
      </c>
      <c r="E23" s="55">
        <v>4</v>
      </c>
      <c r="F23" s="55">
        <v>0</v>
      </c>
      <c r="G23" s="55">
        <v>0</v>
      </c>
      <c r="H23" s="55"/>
      <c r="I23" s="55">
        <v>0</v>
      </c>
      <c r="J23" s="55">
        <v>4</v>
      </c>
      <c r="K23" s="55">
        <v>0</v>
      </c>
      <c r="L23" s="55">
        <v>0</v>
      </c>
      <c r="M23" s="55">
        <v>0</v>
      </c>
      <c r="N23" s="55">
        <v>0</v>
      </c>
      <c r="O23" s="55">
        <v>4</v>
      </c>
      <c r="P23" s="55">
        <v>0</v>
      </c>
      <c r="Q23" s="55">
        <v>0</v>
      </c>
      <c r="R23" s="55">
        <v>4</v>
      </c>
      <c r="S23" s="55">
        <v>0</v>
      </c>
      <c r="T23" s="56">
        <f t="shared" si="1"/>
        <v>16</v>
      </c>
      <c r="U23" s="55">
        <v>390</v>
      </c>
      <c r="V23" s="57">
        <f t="shared" si="0"/>
        <v>6.24</v>
      </c>
    </row>
    <row r="24" spans="1:22" ht="12.75">
      <c r="A24" s="55" t="s">
        <v>110</v>
      </c>
      <c r="B24" s="55">
        <v>0.5</v>
      </c>
      <c r="C24" s="55">
        <v>0.5</v>
      </c>
      <c r="D24" s="55">
        <v>0.5</v>
      </c>
      <c r="E24" s="55">
        <v>0.5</v>
      </c>
      <c r="F24" s="55">
        <v>0.5</v>
      </c>
      <c r="G24" s="55">
        <v>0.5</v>
      </c>
      <c r="H24" s="55">
        <v>0.5</v>
      </c>
      <c r="I24" s="55">
        <v>0.5</v>
      </c>
      <c r="J24" s="55">
        <v>0.5</v>
      </c>
      <c r="K24" s="55">
        <v>0.5</v>
      </c>
      <c r="L24" s="55">
        <v>0.5</v>
      </c>
      <c r="M24" s="55">
        <v>0.5</v>
      </c>
      <c r="N24" s="55">
        <v>0.5</v>
      </c>
      <c r="O24" s="55">
        <v>0.5</v>
      </c>
      <c r="P24" s="55">
        <v>0.5</v>
      </c>
      <c r="Q24" s="55">
        <v>0.5</v>
      </c>
      <c r="R24" s="55">
        <v>0.5</v>
      </c>
      <c r="S24" s="55">
        <v>0.5</v>
      </c>
      <c r="T24" s="56">
        <f t="shared" si="1"/>
        <v>9</v>
      </c>
      <c r="U24" s="55">
        <v>400</v>
      </c>
      <c r="V24" s="57">
        <f t="shared" si="0"/>
        <v>3.6</v>
      </c>
    </row>
    <row r="25" spans="1:22" ht="12.75">
      <c r="A25" s="55" t="s">
        <v>111</v>
      </c>
      <c r="B25" s="55">
        <v>0</v>
      </c>
      <c r="C25" s="55">
        <v>16</v>
      </c>
      <c r="D25" s="55">
        <v>0</v>
      </c>
      <c r="E25" s="55">
        <v>0</v>
      </c>
      <c r="F25" s="55">
        <v>0</v>
      </c>
      <c r="G25" s="55">
        <v>16</v>
      </c>
      <c r="H25" s="55"/>
      <c r="I25" s="55">
        <v>0</v>
      </c>
      <c r="J25" s="55">
        <v>0</v>
      </c>
      <c r="K25" s="55">
        <v>0</v>
      </c>
      <c r="L25" s="55">
        <v>16</v>
      </c>
      <c r="M25" s="55">
        <v>0</v>
      </c>
      <c r="N25" s="55">
        <v>0</v>
      </c>
      <c r="O25" s="55">
        <v>0</v>
      </c>
      <c r="P25" s="55">
        <v>0</v>
      </c>
      <c r="Q25" s="55">
        <v>16</v>
      </c>
      <c r="R25" s="55">
        <v>0</v>
      </c>
      <c r="S25" s="55">
        <v>0</v>
      </c>
      <c r="T25" s="56">
        <f t="shared" si="1"/>
        <v>64</v>
      </c>
      <c r="U25" s="55">
        <v>332.68</v>
      </c>
      <c r="V25" s="57">
        <f t="shared" si="0"/>
        <v>21.291520000000002</v>
      </c>
    </row>
    <row r="26" spans="1:22" ht="12.75">
      <c r="A26" s="55" t="s">
        <v>112</v>
      </c>
      <c r="B26" s="55">
        <v>0</v>
      </c>
      <c r="C26" s="55">
        <v>38</v>
      </c>
      <c r="D26" s="55">
        <v>0</v>
      </c>
      <c r="E26" s="55">
        <v>0</v>
      </c>
      <c r="F26" s="55">
        <v>0</v>
      </c>
      <c r="G26" s="55">
        <v>0</v>
      </c>
      <c r="H26" s="55">
        <v>79</v>
      </c>
      <c r="I26" s="55">
        <v>0</v>
      </c>
      <c r="J26" s="55">
        <v>0</v>
      </c>
      <c r="K26" s="55">
        <v>0</v>
      </c>
      <c r="L26" s="55">
        <v>38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6">
        <f t="shared" si="1"/>
        <v>155</v>
      </c>
      <c r="U26" s="55">
        <v>380</v>
      </c>
      <c r="V26" s="57">
        <f t="shared" si="0"/>
        <v>58.9</v>
      </c>
    </row>
    <row r="27" spans="1:22" ht="12.75">
      <c r="A27" s="55" t="s">
        <v>113</v>
      </c>
      <c r="B27" s="55">
        <v>0</v>
      </c>
      <c r="C27" s="55">
        <v>0</v>
      </c>
      <c r="D27" s="55">
        <v>0</v>
      </c>
      <c r="E27" s="55">
        <v>192</v>
      </c>
      <c r="F27" s="55">
        <v>0</v>
      </c>
      <c r="G27" s="55">
        <v>198</v>
      </c>
      <c r="H27" s="55"/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192</v>
      </c>
      <c r="P27" s="55">
        <v>0</v>
      </c>
      <c r="Q27" s="55">
        <v>198</v>
      </c>
      <c r="R27" s="55">
        <v>0</v>
      </c>
      <c r="S27" s="55">
        <v>0</v>
      </c>
      <c r="T27" s="56">
        <f t="shared" si="1"/>
        <v>780</v>
      </c>
      <c r="U27" s="55">
        <v>132.93</v>
      </c>
      <c r="V27" s="57">
        <f t="shared" si="0"/>
        <v>103.68540000000002</v>
      </c>
    </row>
    <row r="28" spans="1:22" ht="12.75">
      <c r="A28" s="55" t="s">
        <v>143</v>
      </c>
      <c r="B28" s="55">
        <v>60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/>
      <c r="I28" s="55">
        <v>0</v>
      </c>
      <c r="J28" s="55">
        <v>60</v>
      </c>
      <c r="K28" s="55">
        <v>0</v>
      </c>
      <c r="L28" s="55">
        <v>0</v>
      </c>
      <c r="M28" s="55">
        <v>60</v>
      </c>
      <c r="N28" s="55">
        <v>0</v>
      </c>
      <c r="O28" s="55">
        <v>0</v>
      </c>
      <c r="P28" s="55">
        <v>0</v>
      </c>
      <c r="Q28" s="55">
        <v>0</v>
      </c>
      <c r="R28" s="55">
        <v>60</v>
      </c>
      <c r="S28" s="55">
        <v>0</v>
      </c>
      <c r="T28" s="56">
        <f t="shared" si="1"/>
        <v>240</v>
      </c>
      <c r="U28" s="55">
        <v>270</v>
      </c>
      <c r="V28" s="57">
        <f t="shared" si="0"/>
        <v>64.8</v>
      </c>
    </row>
    <row r="29" spans="1:22" ht="27" customHeight="1">
      <c r="A29" s="58" t="s">
        <v>114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176.2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6">
        <f t="shared" si="1"/>
        <v>176.2</v>
      </c>
      <c r="U29" s="55">
        <v>186.71</v>
      </c>
      <c r="V29" s="57">
        <f t="shared" si="0"/>
        <v>32.898301999999994</v>
      </c>
    </row>
    <row r="30" spans="1:22" ht="39" customHeight="1">
      <c r="A30" s="58" t="s">
        <v>134</v>
      </c>
      <c r="B30" s="55">
        <v>0</v>
      </c>
      <c r="C30" s="55">
        <v>176.2</v>
      </c>
      <c r="D30" s="55">
        <v>0</v>
      </c>
      <c r="E30" s="55">
        <v>0</v>
      </c>
      <c r="F30" s="55">
        <v>0</v>
      </c>
      <c r="G30" s="55">
        <v>0</v>
      </c>
      <c r="H30" s="55"/>
      <c r="I30" s="55">
        <v>0</v>
      </c>
      <c r="J30" s="55">
        <v>0</v>
      </c>
      <c r="K30" s="55">
        <v>0</v>
      </c>
      <c r="L30" s="55">
        <v>176.2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6">
        <f t="shared" si="1"/>
        <v>352.4</v>
      </c>
      <c r="U30" s="55">
        <v>165</v>
      </c>
      <c r="V30" s="57">
        <f t="shared" si="0"/>
        <v>58.145999999999994</v>
      </c>
    </row>
    <row r="31" spans="1:22" ht="22.5">
      <c r="A31" s="58" t="s">
        <v>115</v>
      </c>
      <c r="B31" s="55">
        <v>0</v>
      </c>
      <c r="C31" s="55">
        <v>0</v>
      </c>
      <c r="D31" s="55">
        <v>0</v>
      </c>
      <c r="E31" s="55">
        <v>0</v>
      </c>
      <c r="F31" s="55">
        <v>71.4</v>
      </c>
      <c r="G31" s="55">
        <v>0</v>
      </c>
      <c r="H31" s="55"/>
      <c r="I31" s="55">
        <v>0</v>
      </c>
      <c r="J31" s="55">
        <v>0</v>
      </c>
      <c r="K31" s="55">
        <v>71.4</v>
      </c>
      <c r="L31" s="55">
        <v>0</v>
      </c>
      <c r="M31" s="55">
        <v>0</v>
      </c>
      <c r="N31" s="55">
        <v>0</v>
      </c>
      <c r="O31" s="55">
        <v>0</v>
      </c>
      <c r="P31" s="55">
        <v>71.4</v>
      </c>
      <c r="Q31" s="55">
        <v>0</v>
      </c>
      <c r="R31" s="55">
        <v>0</v>
      </c>
      <c r="S31" s="55">
        <v>71.4</v>
      </c>
      <c r="T31" s="56">
        <f t="shared" si="1"/>
        <v>285.6</v>
      </c>
      <c r="U31" s="55">
        <v>260</v>
      </c>
      <c r="V31" s="57">
        <f t="shared" si="0"/>
        <v>74.256</v>
      </c>
    </row>
    <row r="32" spans="1:22" ht="12.75">
      <c r="A32" s="55" t="s">
        <v>116</v>
      </c>
      <c r="B32" s="55">
        <v>0</v>
      </c>
      <c r="C32" s="55">
        <v>0</v>
      </c>
      <c r="D32" s="55">
        <v>123</v>
      </c>
      <c r="E32" s="55">
        <v>0</v>
      </c>
      <c r="F32" s="55">
        <v>0</v>
      </c>
      <c r="G32" s="55">
        <v>0</v>
      </c>
      <c r="H32" s="55"/>
      <c r="I32" s="55">
        <v>197</v>
      </c>
      <c r="J32" s="55">
        <v>0</v>
      </c>
      <c r="K32" s="55">
        <v>0</v>
      </c>
      <c r="L32" s="55">
        <v>0</v>
      </c>
      <c r="M32" s="55">
        <v>0</v>
      </c>
      <c r="N32" s="55">
        <v>123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6">
        <f t="shared" si="1"/>
        <v>443</v>
      </c>
      <c r="U32" s="55">
        <v>170</v>
      </c>
      <c r="V32" s="57">
        <f t="shared" si="0"/>
        <v>75.31</v>
      </c>
    </row>
    <row r="33" spans="1:22" ht="22.5">
      <c r="A33" s="58" t="s">
        <v>117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/>
      <c r="I33" s="55">
        <v>0</v>
      </c>
      <c r="J33" s="55">
        <v>0</v>
      </c>
      <c r="K33" s="55">
        <v>13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13</v>
      </c>
      <c r="T33" s="56">
        <f t="shared" si="1"/>
        <v>26</v>
      </c>
      <c r="U33" s="55">
        <v>311.5</v>
      </c>
      <c r="V33" s="57">
        <f t="shared" si="0"/>
        <v>8.099</v>
      </c>
    </row>
    <row r="34" spans="1:22" ht="12.75">
      <c r="A34" s="55" t="s">
        <v>88</v>
      </c>
      <c r="B34" s="55">
        <v>75</v>
      </c>
      <c r="C34" s="55">
        <v>68</v>
      </c>
      <c r="D34" s="55">
        <v>56.6</v>
      </c>
      <c r="E34" s="55">
        <v>60</v>
      </c>
      <c r="F34" s="55">
        <v>60</v>
      </c>
      <c r="G34" s="55">
        <v>60</v>
      </c>
      <c r="H34" s="55">
        <v>60</v>
      </c>
      <c r="I34" s="55">
        <v>30</v>
      </c>
      <c r="J34" s="55">
        <v>45</v>
      </c>
      <c r="K34" s="55">
        <v>60</v>
      </c>
      <c r="L34" s="55">
        <v>68</v>
      </c>
      <c r="M34" s="55">
        <v>75</v>
      </c>
      <c r="N34" s="55">
        <v>46.6</v>
      </c>
      <c r="O34" s="55">
        <v>60</v>
      </c>
      <c r="P34" s="55">
        <v>60</v>
      </c>
      <c r="Q34" s="55">
        <v>60</v>
      </c>
      <c r="R34" s="55">
        <v>45</v>
      </c>
      <c r="S34" s="55">
        <v>60</v>
      </c>
      <c r="T34" s="56">
        <f t="shared" si="1"/>
        <v>1049.2</v>
      </c>
      <c r="U34" s="55">
        <v>68</v>
      </c>
      <c r="V34" s="57">
        <f t="shared" si="0"/>
        <v>71.3456</v>
      </c>
    </row>
    <row r="35" spans="1:22" ht="12.75">
      <c r="A35" s="55" t="s">
        <v>144</v>
      </c>
      <c r="B35" s="55">
        <v>20</v>
      </c>
      <c r="C35" s="55">
        <v>20</v>
      </c>
      <c r="D35" s="55">
        <v>20</v>
      </c>
      <c r="E35" s="55">
        <v>20</v>
      </c>
      <c r="F35" s="55">
        <v>20</v>
      </c>
      <c r="G35" s="55">
        <v>20</v>
      </c>
      <c r="H35" s="55">
        <v>20</v>
      </c>
      <c r="I35" s="55">
        <v>20</v>
      </c>
      <c r="J35" s="55">
        <v>20</v>
      </c>
      <c r="K35" s="55">
        <v>20</v>
      </c>
      <c r="L35" s="55">
        <v>20</v>
      </c>
      <c r="M35" s="55">
        <v>20</v>
      </c>
      <c r="N35" s="55">
        <v>20</v>
      </c>
      <c r="O35" s="55">
        <v>20</v>
      </c>
      <c r="P35" s="55">
        <v>20</v>
      </c>
      <c r="Q35" s="55">
        <v>20</v>
      </c>
      <c r="R35" s="55">
        <v>20</v>
      </c>
      <c r="S35" s="55">
        <v>20</v>
      </c>
      <c r="T35" s="56">
        <f t="shared" si="1"/>
        <v>360</v>
      </c>
      <c r="U35" s="55">
        <v>47.13</v>
      </c>
      <c r="V35" s="57">
        <f t="shared" si="0"/>
        <v>16.9668</v>
      </c>
    </row>
    <row r="36" spans="1:22" ht="12.75">
      <c r="A36" s="55" t="s">
        <v>36</v>
      </c>
      <c r="B36" s="55">
        <v>0</v>
      </c>
      <c r="C36" s="55">
        <v>6.5</v>
      </c>
      <c r="D36" s="55">
        <v>0</v>
      </c>
      <c r="E36" s="55">
        <v>0</v>
      </c>
      <c r="F36" s="55">
        <v>0</v>
      </c>
      <c r="G36" s="55">
        <v>7.5</v>
      </c>
      <c r="H36" s="55">
        <v>2</v>
      </c>
      <c r="I36" s="55">
        <v>40</v>
      </c>
      <c r="J36" s="55">
        <v>103</v>
      </c>
      <c r="K36" s="55">
        <v>1.8</v>
      </c>
      <c r="L36" s="55">
        <v>6.5</v>
      </c>
      <c r="M36" s="55">
        <v>0</v>
      </c>
      <c r="N36" s="55">
        <v>0</v>
      </c>
      <c r="O36" s="55">
        <v>0</v>
      </c>
      <c r="P36" s="55">
        <v>0</v>
      </c>
      <c r="Q36" s="55">
        <v>7.5</v>
      </c>
      <c r="R36" s="55">
        <v>103</v>
      </c>
      <c r="S36" s="55">
        <v>1.8</v>
      </c>
      <c r="T36" s="56">
        <f t="shared" si="1"/>
        <v>279.6</v>
      </c>
      <c r="U36" s="55">
        <v>28.27</v>
      </c>
      <c r="V36" s="57">
        <f t="shared" si="0"/>
        <v>7.904292000000001</v>
      </c>
    </row>
    <row r="37" spans="1:22" ht="12.75">
      <c r="A37" s="55" t="s">
        <v>81</v>
      </c>
      <c r="B37" s="55">
        <v>8</v>
      </c>
      <c r="C37" s="55">
        <v>0</v>
      </c>
      <c r="D37" s="55">
        <v>9.3</v>
      </c>
      <c r="E37" s="55">
        <v>0</v>
      </c>
      <c r="F37" s="55">
        <v>0</v>
      </c>
      <c r="G37" s="55">
        <v>0</v>
      </c>
      <c r="H37" s="55"/>
      <c r="I37" s="55">
        <v>0</v>
      </c>
      <c r="J37" s="55">
        <v>8</v>
      </c>
      <c r="K37" s="55">
        <v>0</v>
      </c>
      <c r="L37" s="55">
        <v>0</v>
      </c>
      <c r="M37" s="55">
        <v>8</v>
      </c>
      <c r="N37" s="55">
        <v>9.3</v>
      </c>
      <c r="O37" s="55">
        <v>0</v>
      </c>
      <c r="P37" s="55">
        <v>0</v>
      </c>
      <c r="Q37" s="55">
        <v>0</v>
      </c>
      <c r="R37" s="55">
        <v>8</v>
      </c>
      <c r="S37" s="55">
        <v>0</v>
      </c>
      <c r="T37" s="56">
        <f t="shared" si="1"/>
        <v>50.599999999999994</v>
      </c>
      <c r="U37" s="55">
        <v>84.5</v>
      </c>
      <c r="V37" s="57">
        <f t="shared" si="0"/>
        <v>4.2757</v>
      </c>
    </row>
    <row r="38" spans="1:22" ht="12.75">
      <c r="A38" s="55" t="s">
        <v>29</v>
      </c>
      <c r="B38" s="55">
        <v>26.7</v>
      </c>
      <c r="C38" s="55">
        <v>67</v>
      </c>
      <c r="D38" s="55">
        <v>382.5</v>
      </c>
      <c r="E38" s="55">
        <v>50</v>
      </c>
      <c r="F38" s="55">
        <v>100</v>
      </c>
      <c r="G38" s="57">
        <v>160.7</v>
      </c>
      <c r="H38" s="55">
        <v>67</v>
      </c>
      <c r="I38" s="55">
        <v>66.7</v>
      </c>
      <c r="J38" s="55">
        <v>305.2</v>
      </c>
      <c r="K38" s="55">
        <v>142.5</v>
      </c>
      <c r="L38" s="55">
        <v>67</v>
      </c>
      <c r="M38" s="55">
        <v>26.7</v>
      </c>
      <c r="N38" s="55">
        <v>382.5</v>
      </c>
      <c r="O38" s="55">
        <v>50</v>
      </c>
      <c r="P38" s="55">
        <v>100</v>
      </c>
      <c r="Q38" s="57">
        <v>160.7</v>
      </c>
      <c r="R38" s="55">
        <v>305.2</v>
      </c>
      <c r="S38" s="55">
        <v>142.5</v>
      </c>
      <c r="T38" s="56">
        <f t="shared" si="1"/>
        <v>2602.9</v>
      </c>
      <c r="U38" s="55">
        <v>24.2</v>
      </c>
      <c r="V38" s="57">
        <f t="shared" si="0"/>
        <v>62.99018</v>
      </c>
    </row>
    <row r="39" spans="1:22" ht="12.75">
      <c r="A39" s="55" t="s">
        <v>45</v>
      </c>
      <c r="B39" s="55">
        <v>0</v>
      </c>
      <c r="C39" s="55">
        <v>20.3</v>
      </c>
      <c r="D39" s="55">
        <v>0</v>
      </c>
      <c r="E39" s="55">
        <v>0</v>
      </c>
      <c r="F39" s="55">
        <v>0</v>
      </c>
      <c r="G39" s="55">
        <v>0</v>
      </c>
      <c r="H39" s="55">
        <v>20.3</v>
      </c>
      <c r="I39" s="55">
        <v>0</v>
      </c>
      <c r="J39" s="55">
        <v>0</v>
      </c>
      <c r="K39" s="55">
        <v>0</v>
      </c>
      <c r="L39" s="55">
        <v>20.3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6">
        <f t="shared" si="1"/>
        <v>60.900000000000006</v>
      </c>
      <c r="U39" s="55">
        <v>50.9</v>
      </c>
      <c r="V39" s="57">
        <f t="shared" si="0"/>
        <v>3.0998100000000006</v>
      </c>
    </row>
    <row r="40" spans="1:22" ht="12.75">
      <c r="A40" s="55" t="s">
        <v>31</v>
      </c>
      <c r="B40" s="55">
        <v>12</v>
      </c>
      <c r="C40" s="55">
        <v>37.2</v>
      </c>
      <c r="D40" s="55">
        <v>25.3</v>
      </c>
      <c r="E40" s="55">
        <v>28.5</v>
      </c>
      <c r="F40" s="55">
        <v>69.6</v>
      </c>
      <c r="G40" s="55">
        <v>36</v>
      </c>
      <c r="H40" s="55">
        <v>24</v>
      </c>
      <c r="I40" s="55">
        <v>31.2</v>
      </c>
      <c r="J40" s="55">
        <v>6.3</v>
      </c>
      <c r="K40" s="55">
        <v>36</v>
      </c>
      <c r="L40" s="55">
        <v>37.2</v>
      </c>
      <c r="M40" s="55">
        <v>12</v>
      </c>
      <c r="N40" s="55">
        <v>25.3</v>
      </c>
      <c r="O40" s="55">
        <v>28.5</v>
      </c>
      <c r="P40" s="55">
        <v>69.6</v>
      </c>
      <c r="Q40" s="55">
        <v>36</v>
      </c>
      <c r="R40" s="55">
        <v>6.3</v>
      </c>
      <c r="S40" s="55">
        <v>36</v>
      </c>
      <c r="T40" s="56">
        <f t="shared" si="1"/>
        <v>557</v>
      </c>
      <c r="U40" s="55">
        <v>23.79</v>
      </c>
      <c r="V40" s="57">
        <f t="shared" si="0"/>
        <v>13.251029999999998</v>
      </c>
    </row>
    <row r="41" spans="1:22" ht="12.75">
      <c r="A41" s="55" t="s">
        <v>30</v>
      </c>
      <c r="B41" s="55">
        <v>15.7</v>
      </c>
      <c r="C41" s="55">
        <v>20.8</v>
      </c>
      <c r="D41" s="55">
        <v>12.5</v>
      </c>
      <c r="E41" s="55">
        <v>36.7</v>
      </c>
      <c r="F41" s="55">
        <v>12.5</v>
      </c>
      <c r="G41" s="55">
        <v>78.2</v>
      </c>
      <c r="H41" s="55">
        <v>15.8</v>
      </c>
      <c r="I41" s="55">
        <v>55.7</v>
      </c>
      <c r="J41" s="55">
        <v>12.5</v>
      </c>
      <c r="K41" s="55">
        <v>33</v>
      </c>
      <c r="L41" s="55">
        <v>20.8</v>
      </c>
      <c r="M41" s="55">
        <v>15.7</v>
      </c>
      <c r="N41" s="55">
        <v>12.5</v>
      </c>
      <c r="O41" s="55">
        <v>36.7</v>
      </c>
      <c r="P41" s="55">
        <v>12.5</v>
      </c>
      <c r="Q41" s="55">
        <v>78.2</v>
      </c>
      <c r="R41" s="55">
        <v>12.5</v>
      </c>
      <c r="S41" s="55">
        <v>33</v>
      </c>
      <c r="T41" s="56">
        <f t="shared" si="1"/>
        <v>515.3</v>
      </c>
      <c r="U41" s="55">
        <v>24.29</v>
      </c>
      <c r="V41" s="57">
        <f t="shared" si="0"/>
        <v>12.516637</v>
      </c>
    </row>
    <row r="42" spans="1:22" ht="12.75">
      <c r="A42" s="55" t="s">
        <v>39</v>
      </c>
      <c r="B42" s="55">
        <v>50</v>
      </c>
      <c r="C42" s="55">
        <v>0</v>
      </c>
      <c r="D42" s="55">
        <v>0</v>
      </c>
      <c r="E42" s="55">
        <v>0</v>
      </c>
      <c r="F42" s="55">
        <v>192</v>
      </c>
      <c r="G42" s="55">
        <v>50</v>
      </c>
      <c r="H42" s="55"/>
      <c r="I42" s="55">
        <v>0</v>
      </c>
      <c r="J42" s="55">
        <v>0</v>
      </c>
      <c r="K42" s="55">
        <v>0</v>
      </c>
      <c r="L42" s="55">
        <v>0</v>
      </c>
      <c r="M42" s="55">
        <v>50</v>
      </c>
      <c r="N42" s="55">
        <v>0</v>
      </c>
      <c r="O42" s="55">
        <v>0</v>
      </c>
      <c r="P42" s="55">
        <v>192</v>
      </c>
      <c r="Q42" s="55">
        <v>50</v>
      </c>
      <c r="R42" s="55">
        <v>0</v>
      </c>
      <c r="S42" s="55">
        <v>0</v>
      </c>
      <c r="T42" s="56">
        <f t="shared" si="1"/>
        <v>584</v>
      </c>
      <c r="U42" s="55">
        <v>23.96</v>
      </c>
      <c r="V42" s="57">
        <f t="shared" si="0"/>
        <v>13.992640000000002</v>
      </c>
    </row>
    <row r="43" spans="1:22" ht="12.75">
      <c r="A43" s="55" t="s">
        <v>118</v>
      </c>
      <c r="B43" s="55">
        <v>25</v>
      </c>
      <c r="C43" s="55">
        <v>0</v>
      </c>
      <c r="D43" s="55">
        <v>0</v>
      </c>
      <c r="E43" s="55">
        <v>53.8</v>
      </c>
      <c r="F43" s="55">
        <v>0</v>
      </c>
      <c r="G43" s="55">
        <v>25</v>
      </c>
      <c r="H43" s="55"/>
      <c r="I43" s="55">
        <v>0</v>
      </c>
      <c r="J43" s="55">
        <v>0</v>
      </c>
      <c r="K43" s="55">
        <v>255.6</v>
      </c>
      <c r="L43" s="55">
        <v>0</v>
      </c>
      <c r="M43" s="55">
        <v>25</v>
      </c>
      <c r="N43" s="55">
        <v>0</v>
      </c>
      <c r="O43" s="55">
        <v>53.8</v>
      </c>
      <c r="P43" s="55">
        <v>0</v>
      </c>
      <c r="Q43" s="55">
        <v>25</v>
      </c>
      <c r="R43" s="55">
        <v>0</v>
      </c>
      <c r="S43" s="55">
        <v>255.6</v>
      </c>
      <c r="T43" s="56">
        <f t="shared" si="1"/>
        <v>718.8</v>
      </c>
      <c r="U43" s="55">
        <v>16.78</v>
      </c>
      <c r="V43" s="57">
        <f t="shared" si="0"/>
        <v>12.061463999999999</v>
      </c>
    </row>
    <row r="44" spans="1:22" ht="12.75">
      <c r="A44" s="55" t="s">
        <v>119</v>
      </c>
      <c r="B44" s="55">
        <v>0</v>
      </c>
      <c r="C44" s="55">
        <v>17</v>
      </c>
      <c r="D44" s="55">
        <v>16.8</v>
      </c>
      <c r="E44" s="55">
        <v>0</v>
      </c>
      <c r="F44" s="55">
        <v>0</v>
      </c>
      <c r="G44" s="55">
        <v>17</v>
      </c>
      <c r="H44" s="55"/>
      <c r="I44" s="55">
        <v>0</v>
      </c>
      <c r="J44" s="55">
        <v>16.8</v>
      </c>
      <c r="K44" s="55">
        <v>0</v>
      </c>
      <c r="L44" s="55">
        <v>17</v>
      </c>
      <c r="M44" s="55">
        <v>0</v>
      </c>
      <c r="N44" s="55">
        <v>16.8</v>
      </c>
      <c r="O44" s="55">
        <v>0</v>
      </c>
      <c r="P44" s="55">
        <v>0</v>
      </c>
      <c r="Q44" s="55">
        <v>17</v>
      </c>
      <c r="R44" s="55">
        <v>16.8</v>
      </c>
      <c r="S44" s="55">
        <v>0</v>
      </c>
      <c r="T44" s="56">
        <f t="shared" si="1"/>
        <v>135.2</v>
      </c>
      <c r="U44" s="55">
        <v>130</v>
      </c>
      <c r="V44" s="57">
        <f t="shared" si="0"/>
        <v>17.576</v>
      </c>
    </row>
    <row r="45" spans="1:22" ht="22.5">
      <c r="A45" s="58" t="s">
        <v>82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16</v>
      </c>
      <c r="H45" s="55"/>
      <c r="I45" s="55">
        <v>0</v>
      </c>
      <c r="J45" s="55">
        <v>0</v>
      </c>
      <c r="K45" s="55">
        <v>19.4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16</v>
      </c>
      <c r="R45" s="55">
        <v>0</v>
      </c>
      <c r="S45" s="55">
        <v>19.4</v>
      </c>
      <c r="T45" s="56">
        <f t="shared" si="1"/>
        <v>70.8</v>
      </c>
      <c r="U45" s="55">
        <v>144.03</v>
      </c>
      <c r="V45" s="57">
        <f t="shared" si="0"/>
        <v>10.197324</v>
      </c>
    </row>
    <row r="46" spans="1:22" ht="12.75">
      <c r="A46" s="55" t="s">
        <v>120</v>
      </c>
      <c r="B46" s="55">
        <v>0</v>
      </c>
      <c r="C46" s="55">
        <v>0</v>
      </c>
      <c r="D46" s="55">
        <v>0</v>
      </c>
      <c r="E46" s="55">
        <v>53</v>
      </c>
      <c r="F46" s="55">
        <v>0</v>
      </c>
      <c r="G46" s="55">
        <v>0</v>
      </c>
      <c r="H46" s="55"/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53</v>
      </c>
      <c r="P46" s="55">
        <v>0</v>
      </c>
      <c r="Q46" s="55">
        <v>0</v>
      </c>
      <c r="R46" s="55">
        <v>0</v>
      </c>
      <c r="S46" s="55">
        <v>0</v>
      </c>
      <c r="T46" s="56">
        <f t="shared" si="1"/>
        <v>106</v>
      </c>
      <c r="U46" s="55">
        <v>120</v>
      </c>
      <c r="V46" s="57">
        <f t="shared" si="0"/>
        <v>12.72</v>
      </c>
    </row>
    <row r="47" spans="1:22" ht="12.75">
      <c r="A47" s="55" t="s">
        <v>34</v>
      </c>
      <c r="B47" s="55">
        <v>3</v>
      </c>
      <c r="C47" s="55">
        <v>2</v>
      </c>
      <c r="D47" s="55">
        <v>0</v>
      </c>
      <c r="E47" s="55">
        <v>5.7</v>
      </c>
      <c r="F47" s="55">
        <v>0</v>
      </c>
      <c r="G47" s="55">
        <v>7</v>
      </c>
      <c r="H47" s="55">
        <v>3.2</v>
      </c>
      <c r="I47" s="55">
        <v>6.4</v>
      </c>
      <c r="J47" s="55">
        <v>0</v>
      </c>
      <c r="K47" s="55">
        <v>9.32</v>
      </c>
      <c r="L47" s="55">
        <v>2</v>
      </c>
      <c r="M47" s="55">
        <v>3</v>
      </c>
      <c r="N47" s="55">
        <v>0</v>
      </c>
      <c r="O47" s="55">
        <v>5.7</v>
      </c>
      <c r="P47" s="55">
        <v>0</v>
      </c>
      <c r="Q47" s="55">
        <v>7</v>
      </c>
      <c r="R47" s="55">
        <v>0</v>
      </c>
      <c r="S47" s="55">
        <v>9.32</v>
      </c>
      <c r="T47" s="56">
        <f t="shared" si="1"/>
        <v>63.64</v>
      </c>
      <c r="U47" s="55">
        <v>100</v>
      </c>
      <c r="V47" s="57">
        <f t="shared" si="0"/>
        <v>6.364</v>
      </c>
    </row>
    <row r="48" spans="1:22" ht="12.75">
      <c r="A48" s="55" t="s">
        <v>37</v>
      </c>
      <c r="B48" s="55">
        <v>0.006</v>
      </c>
      <c r="C48" s="55">
        <v>0.02</v>
      </c>
      <c r="D48" s="55">
        <v>0</v>
      </c>
      <c r="E48" s="55">
        <v>0</v>
      </c>
      <c r="F48" s="55">
        <v>0</v>
      </c>
      <c r="G48" s="59">
        <v>0.006</v>
      </c>
      <c r="H48" s="55"/>
      <c r="I48" s="55">
        <v>0.01</v>
      </c>
      <c r="J48" s="55">
        <v>0</v>
      </c>
      <c r="K48" s="55">
        <v>0.015</v>
      </c>
      <c r="L48" s="55">
        <v>0.02</v>
      </c>
      <c r="M48" s="55">
        <v>0.006</v>
      </c>
      <c r="N48" s="55">
        <v>0</v>
      </c>
      <c r="O48" s="55">
        <v>0</v>
      </c>
      <c r="P48" s="55">
        <v>0</v>
      </c>
      <c r="Q48" s="59">
        <v>0.006</v>
      </c>
      <c r="R48" s="55">
        <v>0</v>
      </c>
      <c r="S48" s="55">
        <v>0.015</v>
      </c>
      <c r="T48" s="56">
        <f t="shared" si="1"/>
        <v>0.10400000000000001</v>
      </c>
      <c r="U48" s="55">
        <v>300</v>
      </c>
      <c r="V48" s="57">
        <f t="shared" si="0"/>
        <v>0.031200000000000002</v>
      </c>
    </row>
    <row r="49" spans="1:22" ht="22.5">
      <c r="A49" s="58" t="s">
        <v>32</v>
      </c>
      <c r="B49" s="55">
        <v>5</v>
      </c>
      <c r="C49" s="55">
        <v>9</v>
      </c>
      <c r="D49" s="55">
        <v>16.7</v>
      </c>
      <c r="E49" s="55">
        <v>19</v>
      </c>
      <c r="F49" s="55">
        <v>2.5</v>
      </c>
      <c r="G49" s="55">
        <v>17</v>
      </c>
      <c r="H49" s="55">
        <v>10</v>
      </c>
      <c r="I49" s="55">
        <v>19.1</v>
      </c>
      <c r="J49" s="55">
        <v>16</v>
      </c>
      <c r="K49" s="55">
        <v>15.9</v>
      </c>
      <c r="L49" s="55">
        <v>9</v>
      </c>
      <c r="M49" s="55">
        <v>5</v>
      </c>
      <c r="N49" s="55">
        <v>16.7</v>
      </c>
      <c r="O49" s="55">
        <v>19</v>
      </c>
      <c r="P49" s="55">
        <v>2.5</v>
      </c>
      <c r="Q49" s="55">
        <v>17</v>
      </c>
      <c r="R49" s="55">
        <v>16</v>
      </c>
      <c r="S49" s="55">
        <v>15.9</v>
      </c>
      <c r="T49" s="56">
        <f t="shared" si="1"/>
        <v>231.3</v>
      </c>
      <c r="U49" s="55">
        <v>109.91</v>
      </c>
      <c r="V49" s="57">
        <f t="shared" si="0"/>
        <v>25.422183</v>
      </c>
    </row>
    <row r="50" spans="1:22" ht="12.75">
      <c r="A50" s="55" t="s">
        <v>121</v>
      </c>
      <c r="B50" s="55">
        <v>61.2</v>
      </c>
      <c r="C50" s="55">
        <v>0</v>
      </c>
      <c r="D50" s="55">
        <v>0</v>
      </c>
      <c r="E50" s="55">
        <v>0</v>
      </c>
      <c r="F50" s="55">
        <v>10</v>
      </c>
      <c r="G50" s="55">
        <v>0</v>
      </c>
      <c r="H50" s="55"/>
      <c r="I50" s="55">
        <v>0</v>
      </c>
      <c r="J50" s="55">
        <v>0</v>
      </c>
      <c r="K50" s="55">
        <v>54.6</v>
      </c>
      <c r="L50" s="55">
        <v>0</v>
      </c>
      <c r="M50" s="55">
        <v>61.2</v>
      </c>
      <c r="N50" s="55">
        <v>0</v>
      </c>
      <c r="O50" s="55">
        <v>0</v>
      </c>
      <c r="P50" s="55">
        <v>10</v>
      </c>
      <c r="Q50" s="55">
        <v>0</v>
      </c>
      <c r="R50" s="55">
        <v>0</v>
      </c>
      <c r="S50" s="55">
        <v>54.6</v>
      </c>
      <c r="T50" s="56">
        <f t="shared" si="1"/>
        <v>251.6</v>
      </c>
      <c r="U50" s="55">
        <v>50.64</v>
      </c>
      <c r="V50" s="57">
        <f t="shared" si="0"/>
        <v>12.741024</v>
      </c>
    </row>
    <row r="51" spans="1:22" ht="12.75">
      <c r="A51" s="55" t="s">
        <v>122</v>
      </c>
      <c r="B51" s="55">
        <v>0</v>
      </c>
      <c r="C51" s="55">
        <v>20</v>
      </c>
      <c r="D51" s="55">
        <v>0</v>
      </c>
      <c r="E51" s="55">
        <v>0</v>
      </c>
      <c r="F51" s="55">
        <v>0</v>
      </c>
      <c r="G51" s="55">
        <v>0</v>
      </c>
      <c r="H51" s="55"/>
      <c r="I51" s="55">
        <v>0</v>
      </c>
      <c r="J51" s="55">
        <v>0</v>
      </c>
      <c r="K51" s="55">
        <v>0</v>
      </c>
      <c r="L51" s="55">
        <v>20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6">
        <f t="shared" si="1"/>
        <v>40</v>
      </c>
      <c r="U51" s="55">
        <v>700</v>
      </c>
      <c r="V51" s="57">
        <f t="shared" si="0"/>
        <v>28</v>
      </c>
    </row>
    <row r="52" spans="1:22" ht="12.75">
      <c r="A52" s="55" t="s">
        <v>123</v>
      </c>
      <c r="B52" s="55">
        <v>0</v>
      </c>
      <c r="C52" s="55">
        <v>0</v>
      </c>
      <c r="D52" s="55">
        <v>14</v>
      </c>
      <c r="E52" s="55">
        <v>80</v>
      </c>
      <c r="F52" s="55">
        <v>0</v>
      </c>
      <c r="G52" s="55">
        <v>0</v>
      </c>
      <c r="H52" s="55"/>
      <c r="I52" s="55">
        <v>11.4</v>
      </c>
      <c r="J52" s="55">
        <v>5</v>
      </c>
      <c r="K52" s="55">
        <v>0</v>
      </c>
      <c r="L52" s="55">
        <v>0</v>
      </c>
      <c r="M52" s="55">
        <v>0</v>
      </c>
      <c r="N52" s="55">
        <v>14</v>
      </c>
      <c r="O52" s="55">
        <v>80</v>
      </c>
      <c r="P52" s="55">
        <v>0</v>
      </c>
      <c r="Q52" s="55">
        <v>0</v>
      </c>
      <c r="R52" s="55">
        <v>5</v>
      </c>
      <c r="S52" s="55">
        <v>0</v>
      </c>
      <c r="T52" s="56">
        <v>0.2094</v>
      </c>
      <c r="U52" s="55">
        <v>135.58</v>
      </c>
      <c r="V52" s="57">
        <f>T52*U52</f>
        <v>28.390452000000003</v>
      </c>
    </row>
    <row r="53" spans="1:22" ht="12.75">
      <c r="A53" s="55" t="s">
        <v>124</v>
      </c>
      <c r="B53" s="55">
        <v>0.2</v>
      </c>
      <c r="C53" s="55">
        <v>0.2</v>
      </c>
      <c r="D53" s="55">
        <v>0.2</v>
      </c>
      <c r="E53" s="55">
        <v>0</v>
      </c>
      <c r="F53" s="55">
        <v>0.2</v>
      </c>
      <c r="G53" s="55">
        <v>0.2</v>
      </c>
      <c r="H53" s="55">
        <v>0.2</v>
      </c>
      <c r="I53" s="55">
        <v>0.2</v>
      </c>
      <c r="J53" s="55">
        <v>0</v>
      </c>
      <c r="K53" s="55">
        <v>1.2</v>
      </c>
      <c r="L53" s="55">
        <v>0.2</v>
      </c>
      <c r="M53" s="55">
        <v>0.2</v>
      </c>
      <c r="N53" s="55">
        <v>0.2</v>
      </c>
      <c r="O53" s="55">
        <v>0</v>
      </c>
      <c r="P53" s="55">
        <v>0.2</v>
      </c>
      <c r="Q53" s="55">
        <v>0.2</v>
      </c>
      <c r="R53" s="55">
        <v>0</v>
      </c>
      <c r="S53" s="55">
        <v>1.2</v>
      </c>
      <c r="T53" s="56">
        <f t="shared" si="1"/>
        <v>4.800000000000001</v>
      </c>
      <c r="U53" s="55">
        <v>383</v>
      </c>
      <c r="V53" s="57">
        <f aca="true" t="shared" si="2" ref="V53:V64">T53*U53/1000</f>
        <v>1.8384000000000003</v>
      </c>
    </row>
    <row r="54" spans="1:22" ht="12.75">
      <c r="A54" s="55" t="s">
        <v>125</v>
      </c>
      <c r="B54" s="55">
        <v>200</v>
      </c>
      <c r="C54" s="55">
        <v>0</v>
      </c>
      <c r="D54" s="55">
        <v>0</v>
      </c>
      <c r="E54" s="55">
        <v>0</v>
      </c>
      <c r="F54" s="55">
        <v>0</v>
      </c>
      <c r="G54" s="55">
        <v>200</v>
      </c>
      <c r="H54" s="55"/>
      <c r="I54" s="55">
        <v>0</v>
      </c>
      <c r="J54" s="55">
        <v>0</v>
      </c>
      <c r="K54" s="55">
        <v>0</v>
      </c>
      <c r="L54" s="55">
        <v>0</v>
      </c>
      <c r="M54" s="55">
        <v>200</v>
      </c>
      <c r="N54" s="55">
        <v>0</v>
      </c>
      <c r="O54" s="55">
        <v>0</v>
      </c>
      <c r="P54" s="55">
        <v>0</v>
      </c>
      <c r="Q54" s="55">
        <v>200</v>
      </c>
      <c r="R54" s="55">
        <v>0</v>
      </c>
      <c r="S54" s="55">
        <v>0</v>
      </c>
      <c r="T54" s="56">
        <f t="shared" si="1"/>
        <v>800</v>
      </c>
      <c r="U54" s="55">
        <v>72.01</v>
      </c>
      <c r="V54" s="57">
        <f t="shared" si="2"/>
        <v>57.608000000000004</v>
      </c>
    </row>
    <row r="55" spans="1:22" ht="12.75">
      <c r="A55" s="55" t="s">
        <v>126</v>
      </c>
      <c r="B55" s="55">
        <v>20</v>
      </c>
      <c r="C55" s="55">
        <v>20</v>
      </c>
      <c r="D55" s="55">
        <v>20</v>
      </c>
      <c r="E55" s="55">
        <v>0</v>
      </c>
      <c r="F55" s="55">
        <v>20</v>
      </c>
      <c r="G55" s="55">
        <v>20</v>
      </c>
      <c r="H55" s="55">
        <v>20</v>
      </c>
      <c r="I55" s="55">
        <v>20</v>
      </c>
      <c r="J55" s="55">
        <v>0</v>
      </c>
      <c r="K55" s="55">
        <v>20</v>
      </c>
      <c r="L55" s="55">
        <v>20</v>
      </c>
      <c r="M55" s="55">
        <v>20</v>
      </c>
      <c r="N55" s="55">
        <v>20</v>
      </c>
      <c r="O55" s="55">
        <v>0</v>
      </c>
      <c r="P55" s="55">
        <v>20</v>
      </c>
      <c r="Q55" s="55">
        <v>20</v>
      </c>
      <c r="R55" s="55">
        <v>0</v>
      </c>
      <c r="S55" s="55">
        <v>20</v>
      </c>
      <c r="T55" s="56">
        <f t="shared" si="1"/>
        <v>280</v>
      </c>
      <c r="U55" s="55">
        <v>100</v>
      </c>
      <c r="V55" s="57">
        <f t="shared" si="2"/>
        <v>28</v>
      </c>
    </row>
    <row r="56" spans="1:22" ht="12.75">
      <c r="A56" s="55" t="s">
        <v>127</v>
      </c>
      <c r="B56" s="55">
        <v>0</v>
      </c>
      <c r="C56" s="55">
        <v>0</v>
      </c>
      <c r="D56" s="55">
        <v>200</v>
      </c>
      <c r="E56" s="55">
        <v>0</v>
      </c>
      <c r="F56" s="55">
        <v>0</v>
      </c>
      <c r="G56" s="55">
        <v>0</v>
      </c>
      <c r="H56" s="55"/>
      <c r="I56" s="55">
        <v>200</v>
      </c>
      <c r="J56" s="55">
        <v>0</v>
      </c>
      <c r="K56" s="55">
        <v>0</v>
      </c>
      <c r="L56" s="55">
        <v>0</v>
      </c>
      <c r="M56" s="55">
        <v>0</v>
      </c>
      <c r="N56" s="55">
        <v>200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6">
        <f t="shared" si="1"/>
        <v>600</v>
      </c>
      <c r="U56" s="55">
        <v>70.75</v>
      </c>
      <c r="V56" s="57">
        <f t="shared" si="2"/>
        <v>42.45</v>
      </c>
    </row>
    <row r="57" spans="1:22" ht="12.75">
      <c r="A57" s="55" t="s">
        <v>128</v>
      </c>
      <c r="B57" s="55">
        <v>0</v>
      </c>
      <c r="C57" s="55">
        <v>0</v>
      </c>
      <c r="D57" s="55">
        <v>0</v>
      </c>
      <c r="E57" s="55">
        <v>200</v>
      </c>
      <c r="F57" s="55">
        <v>0</v>
      </c>
      <c r="G57" s="55">
        <v>0</v>
      </c>
      <c r="H57" s="55"/>
      <c r="I57" s="55">
        <v>0</v>
      </c>
      <c r="J57" s="55">
        <v>200</v>
      </c>
      <c r="K57" s="55">
        <v>0</v>
      </c>
      <c r="L57" s="55">
        <v>0</v>
      </c>
      <c r="M57" s="55">
        <v>0</v>
      </c>
      <c r="N57" s="55">
        <v>0</v>
      </c>
      <c r="O57" s="55">
        <v>200</v>
      </c>
      <c r="P57" s="55">
        <v>0</v>
      </c>
      <c r="Q57" s="55">
        <v>0</v>
      </c>
      <c r="R57" s="55">
        <v>200</v>
      </c>
      <c r="S57" s="55">
        <v>0</v>
      </c>
      <c r="T57" s="56">
        <f t="shared" si="1"/>
        <v>800</v>
      </c>
      <c r="U57" s="55">
        <v>71.6</v>
      </c>
      <c r="V57" s="57">
        <f t="shared" si="2"/>
        <v>57.279999999999994</v>
      </c>
    </row>
    <row r="58" spans="1:22" ht="12.75">
      <c r="A58" s="55" t="s">
        <v>129</v>
      </c>
      <c r="B58" s="55">
        <v>0</v>
      </c>
      <c r="C58" s="55">
        <v>0</v>
      </c>
      <c r="D58" s="55">
        <v>0</v>
      </c>
      <c r="E58" s="55">
        <v>0</v>
      </c>
      <c r="F58" s="55">
        <v>50</v>
      </c>
      <c r="G58" s="55">
        <v>0</v>
      </c>
      <c r="H58" s="55"/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50</v>
      </c>
      <c r="Q58" s="55">
        <v>0</v>
      </c>
      <c r="R58" s="55">
        <v>0</v>
      </c>
      <c r="S58" s="55">
        <v>0</v>
      </c>
      <c r="T58" s="56">
        <f t="shared" si="1"/>
        <v>100</v>
      </c>
      <c r="U58" s="55">
        <v>207.37</v>
      </c>
      <c r="V58" s="57">
        <f t="shared" si="2"/>
        <v>20.737</v>
      </c>
    </row>
    <row r="59" spans="1:22" ht="12.75">
      <c r="A59" s="55" t="s">
        <v>90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/>
      <c r="I59" s="55">
        <v>0</v>
      </c>
      <c r="J59" s="55">
        <v>0.7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0.7</v>
      </c>
      <c r="S59" s="55">
        <v>0</v>
      </c>
      <c r="T59" s="56">
        <f t="shared" si="1"/>
        <v>1.4</v>
      </c>
      <c r="U59" s="55">
        <v>380</v>
      </c>
      <c r="V59" s="57">
        <f t="shared" si="2"/>
        <v>0.532</v>
      </c>
    </row>
    <row r="60" spans="1:22" ht="12.75">
      <c r="A60" s="55" t="s">
        <v>92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/>
      <c r="I60" s="55">
        <v>0</v>
      </c>
      <c r="J60" s="55">
        <v>18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18</v>
      </c>
      <c r="S60" s="55">
        <v>0</v>
      </c>
      <c r="T60" s="56">
        <f t="shared" si="1"/>
        <v>36</v>
      </c>
      <c r="U60" s="55">
        <v>150</v>
      </c>
      <c r="V60" s="57">
        <f t="shared" si="2"/>
        <v>5.4</v>
      </c>
    </row>
    <row r="61" spans="1:22" ht="12.75">
      <c r="A61" s="55" t="s">
        <v>130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50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6">
        <f t="shared" si="1"/>
        <v>50</v>
      </c>
      <c r="U61" s="55">
        <v>207.37</v>
      </c>
      <c r="V61" s="57">
        <f t="shared" si="2"/>
        <v>10.3685</v>
      </c>
    </row>
    <row r="62" spans="1:22" ht="12.75">
      <c r="A62" s="55" t="s">
        <v>145</v>
      </c>
      <c r="B62" s="55">
        <v>8</v>
      </c>
      <c r="C62" s="55">
        <v>0</v>
      </c>
      <c r="D62" s="55">
        <v>0</v>
      </c>
      <c r="E62" s="55">
        <v>0</v>
      </c>
      <c r="F62" s="55">
        <v>8</v>
      </c>
      <c r="G62" s="55">
        <v>0</v>
      </c>
      <c r="H62" s="55"/>
      <c r="I62" s="55">
        <v>0</v>
      </c>
      <c r="J62" s="55">
        <v>0</v>
      </c>
      <c r="K62" s="55">
        <v>0</v>
      </c>
      <c r="L62" s="55">
        <v>0</v>
      </c>
      <c r="M62" s="55">
        <v>8</v>
      </c>
      <c r="N62" s="55">
        <v>0</v>
      </c>
      <c r="O62" s="55">
        <v>0</v>
      </c>
      <c r="P62" s="55">
        <v>8</v>
      </c>
      <c r="Q62" s="55">
        <v>0</v>
      </c>
      <c r="R62" s="55">
        <v>0</v>
      </c>
      <c r="S62" s="55">
        <v>0</v>
      </c>
      <c r="T62" s="56">
        <f t="shared" si="1"/>
        <v>32</v>
      </c>
      <c r="U62" s="55">
        <v>104.71</v>
      </c>
      <c r="V62" s="57">
        <f t="shared" si="2"/>
        <v>3.35072</v>
      </c>
    </row>
    <row r="63" spans="1:22" ht="12.75">
      <c r="A63" s="55" t="s">
        <v>146</v>
      </c>
      <c r="B63" s="55">
        <v>26</v>
      </c>
      <c r="C63" s="55">
        <v>0</v>
      </c>
      <c r="D63" s="55">
        <v>26</v>
      </c>
      <c r="E63" s="55">
        <v>0</v>
      </c>
      <c r="F63" s="55">
        <v>0</v>
      </c>
      <c r="G63" s="55">
        <v>0</v>
      </c>
      <c r="H63" s="55"/>
      <c r="I63" s="55">
        <v>26</v>
      </c>
      <c r="J63" s="55">
        <v>0</v>
      </c>
      <c r="K63" s="55">
        <v>0</v>
      </c>
      <c r="L63" s="55">
        <v>0</v>
      </c>
      <c r="M63" s="55">
        <v>26</v>
      </c>
      <c r="N63" s="55">
        <v>0</v>
      </c>
      <c r="O63" s="55">
        <v>26</v>
      </c>
      <c r="P63" s="55">
        <v>0</v>
      </c>
      <c r="Q63" s="55">
        <v>0</v>
      </c>
      <c r="R63" s="55">
        <v>26</v>
      </c>
      <c r="S63" s="55">
        <v>0</v>
      </c>
      <c r="T63" s="56">
        <f t="shared" si="1"/>
        <v>156</v>
      </c>
      <c r="U63" s="55">
        <v>137.69</v>
      </c>
      <c r="V63" s="57">
        <f t="shared" si="2"/>
        <v>21.47964</v>
      </c>
    </row>
    <row r="64" spans="1:22" ht="12.75">
      <c r="A64" s="55" t="s">
        <v>147</v>
      </c>
      <c r="B64" s="55">
        <v>0</v>
      </c>
      <c r="C64" s="55">
        <v>25.2</v>
      </c>
      <c r="D64" s="55">
        <v>0</v>
      </c>
      <c r="E64" s="55">
        <v>25.2</v>
      </c>
      <c r="F64" s="55">
        <v>0</v>
      </c>
      <c r="G64" s="55">
        <v>0</v>
      </c>
      <c r="H64" s="55">
        <v>25.2</v>
      </c>
      <c r="I64" s="55">
        <v>0</v>
      </c>
      <c r="J64" s="55">
        <v>25.2</v>
      </c>
      <c r="K64" s="55">
        <v>0</v>
      </c>
      <c r="L64" s="55">
        <v>25.2</v>
      </c>
      <c r="M64" s="55">
        <v>0</v>
      </c>
      <c r="N64" s="55">
        <v>25.2</v>
      </c>
      <c r="O64" s="55">
        <v>0</v>
      </c>
      <c r="P64" s="55">
        <v>0</v>
      </c>
      <c r="Q64" s="55">
        <v>0</v>
      </c>
      <c r="R64" s="55">
        <v>0</v>
      </c>
      <c r="S64" s="55">
        <v>25.2</v>
      </c>
      <c r="T64" s="56">
        <f t="shared" si="1"/>
        <v>176.39999999999998</v>
      </c>
      <c r="U64" s="55">
        <v>120</v>
      </c>
      <c r="V64" s="57">
        <f t="shared" si="2"/>
        <v>21.167999999999996</v>
      </c>
    </row>
    <row r="65" spans="1:22" ht="12.75">
      <c r="A65" s="55" t="s">
        <v>131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55"/>
      <c r="V65" s="57">
        <f>SUM(V8:V64)</f>
        <v>1620.658998999999</v>
      </c>
    </row>
    <row r="66" spans="1:2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4"/>
      <c r="U66" s="53"/>
      <c r="V66" s="64">
        <f>V65/18</f>
        <v>90.03661105555551</v>
      </c>
    </row>
  </sheetData>
  <sheetProtection/>
  <mergeCells count="4">
    <mergeCell ref="A2:D3"/>
    <mergeCell ref="A4:C4"/>
    <mergeCell ref="U4:V4"/>
    <mergeCell ref="B5:T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Пользователь Windows</cp:lastModifiedBy>
  <cp:lastPrinted>2018-09-19T03:46:52Z</cp:lastPrinted>
  <dcterms:created xsi:type="dcterms:W3CDTF">2008-03-12T13:26:08Z</dcterms:created>
  <dcterms:modified xsi:type="dcterms:W3CDTF">2019-01-24T08:05:01Z</dcterms:modified>
  <cp:category/>
  <cp:version/>
  <cp:contentType/>
  <cp:contentStatus/>
</cp:coreProperties>
</file>